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dministrator\Desktop\NHIEN\PHƯƠNG ÁN\KDTHH\Niêm yết đợt 40\"/>
    </mc:Choice>
  </mc:AlternateContent>
  <xr:revisionPtr revIDLastSave="0" documentId="13_ncr:1_{1F59686E-BC13-4D24-A979-0003C426D748}" xr6:coauthVersionLast="47" xr6:coauthVersionMax="47" xr10:uidLastSave="{00000000-0000-0000-0000-000000000000}"/>
  <bookViews>
    <workbookView xWindow="-120" yWindow="-120" windowWidth="29040" windowHeight="15720" xr2:uid="{00000000-000D-0000-FFFF-FFFF00000000}"/>
  </bookViews>
  <sheets>
    <sheet name="Phương án bà Pho 250 m2" sheetId="12" r:id="rId1"/>
    <sheet name="BTH 250m2" sheetId="15" r:id="rId2"/>
    <sheet name="Sheet2" sheetId="14" state="hidden" r:id="rId3"/>
    <sheet name="BTH" sheetId="13" state="hidden" r:id="rId4"/>
  </sheets>
  <definedNames>
    <definedName name="_xlnm.Print_Area" localSheetId="1">'BTH 250m2'!$A$1:$Q$31</definedName>
    <definedName name="_xlnm.Print_Area" localSheetId="0">'Phương án bà Pho 250 m2'!$A$1:$J$1008</definedName>
    <definedName name="_xlnm.Print_Titles" localSheetId="0">'Phương án bà Pho 250 m2'!$2:$3</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2" i="15" l="1"/>
  <c r="E12" i="15"/>
  <c r="F984" i="12" l="1"/>
  <c r="F934" i="12"/>
  <c r="F1000" i="12" l="1"/>
  <c r="H12" i="15"/>
  <c r="G11" i="15"/>
  <c r="F11" i="15"/>
  <c r="E11" i="15"/>
  <c r="F222" i="12" l="1"/>
  <c r="I903" i="12" l="1"/>
  <c r="I898" i="12"/>
  <c r="I887" i="12"/>
  <c r="J884" i="12" s="1"/>
  <c r="M11" i="15" s="1"/>
  <c r="I881" i="12"/>
  <c r="F855" i="12"/>
  <c r="I855" i="12" s="1"/>
  <c r="I838" i="12"/>
  <c r="I837" i="12"/>
  <c r="I836" i="12"/>
  <c r="I835" i="12"/>
  <c r="I834" i="12"/>
  <c r="I833" i="12"/>
  <c r="I832" i="12"/>
  <c r="I831" i="12"/>
  <c r="I830" i="12"/>
  <c r="I829" i="12"/>
  <c r="I828" i="12"/>
  <c r="F818" i="12"/>
  <c r="I818" i="12" s="1"/>
  <c r="I814" i="12"/>
  <c r="I806" i="12"/>
  <c r="I802" i="12"/>
  <c r="I797" i="12"/>
  <c r="I793" i="12"/>
  <c r="G780" i="12"/>
  <c r="I780" i="12" s="1"/>
  <c r="G748" i="12"/>
  <c r="I748" i="12" s="1"/>
  <c r="F721" i="12"/>
  <c r="F719" i="12"/>
  <c r="I1000" i="12"/>
  <c r="I984" i="12"/>
  <c r="I973" i="12"/>
  <c r="I971" i="12"/>
  <c r="I969" i="12"/>
  <c r="I968" i="12"/>
  <c r="G952" i="12"/>
  <c r="I952" i="12" s="1"/>
  <c r="I939" i="12" s="1"/>
  <c r="K12" i="15" s="1"/>
  <c r="I934" i="12"/>
  <c r="J911" i="12" s="1"/>
  <c r="J12" i="15" s="1"/>
  <c r="F915" i="12"/>
  <c r="F914" i="12"/>
  <c r="F729" i="12" l="1"/>
  <c r="F762" i="12" s="1"/>
  <c r="H11" i="15" s="1"/>
  <c r="I11" i="15"/>
  <c r="J897" i="12"/>
  <c r="P11" i="15" s="1"/>
  <c r="J975" i="12"/>
  <c r="N12" i="15" s="1"/>
  <c r="I960" i="12"/>
  <c r="I821" i="12"/>
  <c r="L11" i="15" s="1"/>
  <c r="I770" i="12"/>
  <c r="K11" i="15" s="1"/>
  <c r="F873" i="12" l="1"/>
  <c r="I873" i="12" s="1"/>
  <c r="J845" i="12" s="1"/>
  <c r="N11" i="15" s="1"/>
  <c r="I762" i="12"/>
  <c r="J938" i="12"/>
  <c r="J1002" i="12" s="1"/>
  <c r="O12" i="15" s="1"/>
  <c r="L12" i="15"/>
  <c r="J769" i="12"/>
  <c r="J716" i="12" l="1"/>
  <c r="J11" i="15" s="1"/>
  <c r="O11" i="15" s="1"/>
  <c r="I10" i="15"/>
  <c r="G10" i="15"/>
  <c r="G13" i="15" s="1"/>
  <c r="F10" i="15"/>
  <c r="E10" i="15"/>
  <c r="I9" i="15"/>
  <c r="N8" i="15"/>
  <c r="L8" i="15"/>
  <c r="K8" i="15"/>
  <c r="H8" i="15"/>
  <c r="F8" i="15"/>
  <c r="E8" i="15"/>
  <c r="K7" i="15"/>
  <c r="F7" i="15"/>
  <c r="E7" i="15"/>
  <c r="J895" i="12" l="1"/>
  <c r="I711" i="12"/>
  <c r="I707" i="12"/>
  <c r="I670" i="12"/>
  <c r="J667" i="12" s="1"/>
  <c r="M10" i="15" s="1"/>
  <c r="I664" i="12"/>
  <c r="I662" i="12"/>
  <c r="F638" i="12"/>
  <c r="I638" i="12" s="1"/>
  <c r="I627" i="12"/>
  <c r="I626" i="12"/>
  <c r="I625" i="12"/>
  <c r="I623" i="12"/>
  <c r="I621" i="12"/>
  <c r="I619" i="12"/>
  <c r="I618" i="12"/>
  <c r="I617" i="12"/>
  <c r="I615" i="12"/>
  <c r="I614" i="12"/>
  <c r="I613" i="12"/>
  <c r="I612" i="12"/>
  <c r="I611" i="12"/>
  <c r="I608" i="12"/>
  <c r="I606" i="12"/>
  <c r="I605" i="12"/>
  <c r="I603" i="12"/>
  <c r="I601" i="12"/>
  <c r="I599" i="12"/>
  <c r="I598" i="12"/>
  <c r="I596" i="12"/>
  <c r="I594" i="12"/>
  <c r="I593" i="12"/>
  <c r="I592" i="12"/>
  <c r="I590" i="12"/>
  <c r="I588" i="12"/>
  <c r="I587" i="12"/>
  <c r="I585" i="12"/>
  <c r="I583" i="12"/>
  <c r="I581" i="12"/>
  <c r="I578" i="12"/>
  <c r="I576" i="12"/>
  <c r="I575" i="12"/>
  <c r="I574" i="12"/>
  <c r="I572" i="12"/>
  <c r="I570" i="12"/>
  <c r="I568" i="12"/>
  <c r="I567" i="12"/>
  <c r="I566" i="12"/>
  <c r="I563" i="12"/>
  <c r="I561" i="12"/>
  <c r="I559" i="12"/>
  <c r="I558" i="12"/>
  <c r="I556" i="12"/>
  <c r="I553" i="12"/>
  <c r="I552" i="12"/>
  <c r="I550" i="12"/>
  <c r="I548" i="12"/>
  <c r="I546" i="12"/>
  <c r="I545" i="12"/>
  <c r="I544" i="12"/>
  <c r="I543" i="12"/>
  <c r="I540" i="12"/>
  <c r="I539" i="12"/>
  <c r="I538" i="12"/>
  <c r="I537" i="12"/>
  <c r="I536" i="12"/>
  <c r="I533" i="12"/>
  <c r="I532" i="12"/>
  <c r="I530" i="12"/>
  <c r="I511" i="12"/>
  <c r="I507" i="12"/>
  <c r="G500" i="12"/>
  <c r="F500" i="12"/>
  <c r="I497" i="12"/>
  <c r="I494" i="12"/>
  <c r="G488" i="12"/>
  <c r="I488" i="12" s="1"/>
  <c r="I484" i="12"/>
  <c r="I480" i="12"/>
  <c r="I477" i="12"/>
  <c r="I474" i="12"/>
  <c r="G463" i="12"/>
  <c r="I463" i="12" s="1"/>
  <c r="F458" i="12"/>
  <c r="I458" i="12" s="1"/>
  <c r="I455" i="12"/>
  <c r="F451" i="12"/>
  <c r="I451" i="12" s="1"/>
  <c r="F447" i="12"/>
  <c r="I447" i="12" s="1"/>
  <c r="F437" i="12"/>
  <c r="I437" i="12" s="1"/>
  <c r="I428" i="12"/>
  <c r="G420" i="12"/>
  <c r="I420" i="12" s="1"/>
  <c r="G413" i="12"/>
  <c r="F413" i="12"/>
  <c r="G406" i="12"/>
  <c r="F406" i="12"/>
  <c r="F403" i="12"/>
  <c r="I403" i="12" s="1"/>
  <c r="G393" i="12"/>
  <c r="F393" i="12"/>
  <c r="G386" i="12"/>
  <c r="F386" i="12"/>
  <c r="G378" i="12"/>
  <c r="I378" i="12" s="1"/>
  <c r="F374" i="12"/>
  <c r="I374" i="12" s="1"/>
  <c r="G365" i="12"/>
  <c r="F365" i="12"/>
  <c r="G358" i="12"/>
  <c r="F358" i="12"/>
  <c r="G350" i="12"/>
  <c r="F350" i="12"/>
  <c r="G342" i="12"/>
  <c r="I342" i="12" s="1"/>
  <c r="G334" i="12"/>
  <c r="F334" i="12"/>
  <c r="F329" i="12"/>
  <c r="I329" i="12" s="1"/>
  <c r="F325" i="12"/>
  <c r="I325" i="12" s="1"/>
  <c r="F316" i="12"/>
  <c r="I316" i="12" s="1"/>
  <c r="G308" i="12"/>
  <c r="F308" i="12"/>
  <c r="F292" i="12"/>
  <c r="G280" i="12"/>
  <c r="I280" i="12" s="1"/>
  <c r="F258" i="12"/>
  <c r="F251" i="12"/>
  <c r="I211" i="12"/>
  <c r="I208" i="12"/>
  <c r="G186" i="12"/>
  <c r="F180" i="12"/>
  <c r="G180" i="12"/>
  <c r="F177" i="12"/>
  <c r="I177" i="12" s="1"/>
  <c r="F174" i="12"/>
  <c r="I174" i="12" s="1"/>
  <c r="F171" i="12"/>
  <c r="I171" i="12" s="1"/>
  <c r="I386" i="12" l="1"/>
  <c r="I393" i="12"/>
  <c r="I292" i="12"/>
  <c r="J248" i="12" s="1"/>
  <c r="H10" i="15"/>
  <c r="I334" i="12"/>
  <c r="I350" i="12"/>
  <c r="I413" i="12"/>
  <c r="I308" i="12"/>
  <c r="I500" i="12"/>
  <c r="J706" i="12"/>
  <c r="P10" i="15" s="1"/>
  <c r="I358" i="12"/>
  <c r="I365" i="12"/>
  <c r="I406" i="12"/>
  <c r="I521" i="12"/>
  <c r="L10" i="15" s="1"/>
  <c r="F656" i="12"/>
  <c r="I656" i="12" s="1"/>
  <c r="J629" i="12" s="1"/>
  <c r="N10" i="15" s="1"/>
  <c r="I180" i="12"/>
  <c r="F167" i="12"/>
  <c r="I167" i="12" s="1"/>
  <c r="F164" i="12"/>
  <c r="I164" i="12" s="1"/>
  <c r="G158" i="12"/>
  <c r="F158" i="12"/>
  <c r="I155" i="12"/>
  <c r="F152" i="12"/>
  <c r="I152" i="12" s="1"/>
  <c r="G143" i="12"/>
  <c r="F143" i="12"/>
  <c r="F102" i="12"/>
  <c r="F101" i="12"/>
  <c r="E9" i="15" s="1"/>
  <c r="E13" i="15" s="1"/>
  <c r="J10" i="15" l="1"/>
  <c r="P13" i="15"/>
  <c r="F19" i="15" s="1"/>
  <c r="F126" i="12"/>
  <c r="F9" i="15"/>
  <c r="F13" i="15" s="1"/>
  <c r="I297" i="12"/>
  <c r="I158" i="12"/>
  <c r="F103" i="12"/>
  <c r="F77" i="12"/>
  <c r="I8" i="15" s="1"/>
  <c r="J80" i="12"/>
  <c r="F74" i="12"/>
  <c r="F73" i="12"/>
  <c r="J70" i="12"/>
  <c r="J8" i="15" s="1"/>
  <c r="J296" i="12" l="1"/>
  <c r="J704" i="12" s="1"/>
  <c r="K10" i="15"/>
  <c r="I126" i="12"/>
  <c r="J94" i="12" s="1"/>
  <c r="J9" i="15" s="1"/>
  <c r="H9" i="15"/>
  <c r="J92" i="12"/>
  <c r="I45" i="12"/>
  <c r="I37" i="12" s="1"/>
  <c r="L7" i="15" s="1"/>
  <c r="F10" i="12"/>
  <c r="I7" i="15" l="1"/>
  <c r="I13" i="15" s="1"/>
  <c r="F239" i="12"/>
  <c r="I239" i="12" s="1"/>
  <c r="I222" i="12"/>
  <c r="I206" i="12"/>
  <c r="I204" i="12"/>
  <c r="I202" i="12"/>
  <c r="I186" i="12"/>
  <c r="I143" i="12"/>
  <c r="F100" i="12"/>
  <c r="F97" i="12"/>
  <c r="I192" i="12" l="1"/>
  <c r="L9" i="15" s="1"/>
  <c r="L13" i="15" s="1"/>
  <c r="F104" i="12"/>
  <c r="I133" i="12"/>
  <c r="K9" i="15" s="1"/>
  <c r="K13" i="15" s="1"/>
  <c r="J214" i="12"/>
  <c r="N9" i="15" s="1"/>
  <c r="J132" i="12" l="1"/>
  <c r="J245" i="12" s="1"/>
  <c r="J34" i="12" l="1"/>
  <c r="F29" i="12"/>
  <c r="H7" i="15" s="1"/>
  <c r="H13" i="15" s="1"/>
  <c r="F8" i="12"/>
  <c r="F7" i="12"/>
  <c r="F62" i="12" l="1"/>
  <c r="I62" i="12" s="1"/>
  <c r="J47" i="12" s="1"/>
  <c r="N7" i="15" s="1"/>
  <c r="N13" i="15" s="1"/>
  <c r="I29" i="12"/>
  <c r="J4" i="12" s="1"/>
  <c r="J7" i="15" s="1"/>
  <c r="J13" i="15" s="1"/>
  <c r="J68" i="12" l="1"/>
  <c r="M9" i="15" l="1"/>
  <c r="M13" i="15" s="1"/>
  <c r="O10" i="15" l="1"/>
  <c r="O9" i="15" l="1"/>
  <c r="O8" i="15" l="1"/>
  <c r="O7" i="15"/>
  <c r="O13" i="15" l="1"/>
  <c r="F16" i="15" s="1"/>
  <c r="F17" i="15" l="1"/>
  <c r="F18" i="15" s="1"/>
  <c r="F20" i="15" s="1"/>
</calcChain>
</file>

<file path=xl/sharedStrings.xml><?xml version="1.0" encoding="utf-8"?>
<sst xmlns="http://schemas.openxmlformats.org/spreadsheetml/2006/main" count="758" uniqueCount="447">
  <si>
    <t>II/ Kết quả xét bồi thường, hỗ trợ, tái định cư:</t>
  </si>
  <si>
    <t>STT</t>
  </si>
  <si>
    <t>HỌ TÊN VÀ ĐỊA CHỈ
(Nơi ở và nơi giải tỏa)</t>
  </si>
  <si>
    <t>GIẤY TỜ NGUỒN GỐC NHÀ ĐẤT</t>
  </si>
  <si>
    <t>NỘI DUNG BỒI THƯỜNG, HỖ TRỢ</t>
  </si>
  <si>
    <t>Đơn
vị
tính</t>
  </si>
  <si>
    <t>Khối 
lượng 
BT, HT</t>
  </si>
  <si>
    <t>Đơn giá
(đồng)</t>
  </si>
  <si>
    <t>THÀNH TIỀN
(đồng)</t>
  </si>
  <si>
    <t>TỔNG TIỀN
(đồng)</t>
  </si>
  <si>
    <t>1</t>
  </si>
  <si>
    <t xml:space="preserve">I/ Về đất: </t>
  </si>
  <si>
    <t>m²</t>
  </si>
  <si>
    <t xml:space="preserve"> + DT đất giải tỏa: </t>
  </si>
  <si>
    <t xml:space="preserve"> + DT đất còn lại:</t>
  </si>
  <si>
    <t>II/ Tài sản gắn liền với đất:</t>
  </si>
  <si>
    <t>1- Công trình, vật kiến trúc:</t>
  </si>
  <si>
    <t>2- Hỗ trợ đào tạo, chuyển đổi nghề, tìm kiếm việc làm:</t>
  </si>
  <si>
    <t>1- Hỗ trợ ổn định đời sống:</t>
  </si>
  <si>
    <t>Mức BT,
HT 
(%)</t>
  </si>
  <si>
    <t xml:space="preserve"> * Cơ sở pháp lý áp dụng:</t>
  </si>
  <si>
    <t>%</t>
  </si>
  <si>
    <t>* Tổng số tiền bồi thường, hỗ trợ:</t>
  </si>
  <si>
    <t>- Căn cứ Khoản 4, Khoản 5 Điều 111 Luật Đất đai năm 2024.</t>
  </si>
  <si>
    <t>Hộ gia đình không đủ điều kiện giải quyết tái định cư do không bị thu hồi đất ở và không phải di chuyển chỗ ở.</t>
  </si>
  <si>
    <t>2- Cây trồng.</t>
  </si>
  <si>
    <t>Họ và tên</t>
  </si>
  <si>
    <t>Thửa</t>
  </si>
  <si>
    <t>TỜ BĐTĐ</t>
  </si>
  <si>
    <t>TỔNG DT</t>
  </si>
  <si>
    <t>DIỆN TÍCH ĐẤT THU HỒI (m²)</t>
  </si>
  <si>
    <t>Số tiền bồi thường, hỗ trợ (đồng)</t>
  </si>
  <si>
    <t>Tái định cư</t>
  </si>
  <si>
    <t>Tổng diện tích thu hồi</t>
  </si>
  <si>
    <t>Đất ở</t>
  </si>
  <si>
    <t>Đất nông nghiệp</t>
  </si>
  <si>
    <t>Đất do Nhà nước quản lý</t>
  </si>
  <si>
    <t xml:space="preserve">BT,HT về đất </t>
  </si>
  <si>
    <t>BT, HT về tài sản</t>
  </si>
  <si>
    <t>Bồi thường chi phí di chuyển tài sản</t>
  </si>
  <si>
    <t>Không đủ điều kiện bố trí TĐC</t>
  </si>
  <si>
    <t>Tổng</t>
  </si>
  <si>
    <t xml:space="preserve">1/ Số trường hợp bị giải tỏa: </t>
  </si>
  <si>
    <t xml:space="preserve">đồng </t>
  </si>
  <si>
    <t xml:space="preserve">3/ Chi phí thực hiện bồi thường, hỗ trợ (3%): </t>
  </si>
  <si>
    <t>Nam Nha Trang, ngày        tháng        năm 2026</t>
  </si>
  <si>
    <t xml:space="preserve">BAN QUẢN LÝ DỰ ÁN VÀ PHÁT TRIỂN QUỸ ĐẤT </t>
  </si>
  <si>
    <t>NGƯỜI LẬP PHƯƠNG ÁN</t>
  </si>
  <si>
    <t>BẢNG TỔNG HỢP</t>
  </si>
  <si>
    <t>DỰ ÁN: KHU ĐÔ THỊ HỖN HỢP THÀNH PHỐ NHA TRANG</t>
  </si>
  <si>
    <t>Địa điểm: xã Phước Đồng, xã Vĩnh Thái, phường Phước Long, phường Phước Hải, thành phố Nha Trang</t>
  </si>
  <si>
    <t>Tổng số tiền BT, HT</t>
  </si>
  <si>
    <t>(đồng)</t>
  </si>
  <si>
    <t>BT,HT về cây trồng</t>
  </si>
  <si>
    <t>BT, HT khác</t>
  </si>
  <si>
    <t>GIÁM ĐỐC</t>
  </si>
  <si>
    <t>NGUYỄN HOÀNG LƯƠNG</t>
  </si>
  <si>
    <t xml:space="preserve">IV/ Tái định cư: </t>
  </si>
  <si>
    <t>2- Bồi thường về Đất:</t>
  </si>
  <si>
    <t>kg</t>
  </si>
  <si>
    <t>* Căn cứ Điều 103 Luật đất đai năm 2024</t>
  </si>
  <si>
    <t>cây</t>
  </si>
  <si>
    <t>+ Tỷ lệ giải toả:</t>
  </si>
  <si>
    <t xml:space="preserve">2/ Kinh phí bồi thường, hỗ trợ, tái định cư: </t>
  </si>
  <si>
    <t>1. Không bồi thường về đất</t>
  </si>
  <si>
    <t>Căn cứ theo khoản 2 Điều 101 Luật Đất đai 2024 không bồi thường. Hộ gia đình có trách nhiệm bàn giao mặt bằng cho dự án</t>
  </si>
  <si>
    <t>2. Bồi thường về Đất:</t>
  </si>
  <si>
    <t>- Bồi thường đất nuôi trồng thủy sản</t>
  </si>
  <si>
    <t>2- Bồi thường chi phí đầu tư vào đất</t>
  </si>
  <si>
    <t>-  Ao đìa, chiều sâu đào đất sâu 1,5m.</t>
  </si>
  <si>
    <t>Căn cứ Điều 107 Luật Đất đai 2024: Không bồi thường chi phí đầu tư vào đất do đã được bồi thường về đất.</t>
  </si>
  <si>
    <t xml:space="preserve"> * Căn cứ Điều 102, 105 Luật đất đai năm 2024, Điều 14 Nghị định số 88/2024/NĐ-CP ngày 15/7/2024 của Chính phủ, Điều 5 Quyết định số 17/2024/QĐ-UBND ngày 29/8/2024 của UBND tỉnh Khánh Hòa </t>
  </si>
  <si>
    <t>m³</t>
  </si>
  <si>
    <t xml:space="preserve"> 2/ Cây trồng.</t>
  </si>
  <si>
    <t>- Không có</t>
  </si>
  <si>
    <t>III/ Chính sách hỗ trợ (1+2+3):</t>
  </si>
  <si>
    <t>* Áp dụng khoản 1 Điều 13 Quyết định số 17/2024/QĐ-UBND ngày 29/8/2024 của UBND tỉnh Khánh Hòa 
- Văn bản số 1718/UBND-VP ngày 21/10/2025 của UBND phường Nam Nha Trang</t>
  </si>
  <si>
    <t>*  Giá đất được áp dụng tại Nghị quyết số 15/2025/NQ-HĐND ngày 18/01/2026 của HĐND tỉnh Khánh Hòa
- Hỗ trợ chuyển đổi nghề nghiệp và tạo việc làm tính theo diện tích giải tỏa. Mức hỗ trợ bằng (03) lần giá đất nông nghiệp  trong Bảng giá đất hiện hành của tỉnh Khánh Hòa , đơn giá: 108.000đ/m² x 3 lần = 324.000đ/m².</t>
  </si>
  <si>
    <t>* Tỷ lệ giải tỏa:</t>
  </si>
  <si>
    <t>- Quyết định số 36/QĐ-UBND ngày 09/7/2025 của Chủ tịch UBND phường Nam Nha Trang về việc phê duyệt giá đất cụ thể để tính bồi thường khi Nhà nước thu hồi đất để thực hiện dự án Khu đô thị hỗn hợp thành phố Nha Trang. 
- Văn bản số 4323/UBND-VP ngày 21/7/2026 của UBND phường Nam Nha Trang về việc triển khai áp dụng giá đất để tính bồi thường các dự án trên địa phưởng Nam Nha Trang.</t>
  </si>
  <si>
    <t>III/ Chính sách hỗ trợ (1+2):</t>
  </si>
  <si>
    <r>
      <rPr>
        <b/>
        <sz val="13"/>
        <color theme="1"/>
        <rFont val="Times New Roman"/>
        <family val="1"/>
      </rPr>
      <t>1- Hỗ trợ ổn định đời sống:</t>
    </r>
  </si>
  <si>
    <t xml:space="preserve"> + Tổng DT đất giải tỏa: </t>
  </si>
  <si>
    <t xml:space="preserve"> + Tổng DT đất còn lại:</t>
  </si>
  <si>
    <t>- Tỷ lệ giải tỏa</t>
  </si>
  <si>
    <t>1- Không bồi thường về đất</t>
  </si>
  <si>
    <t>Căn cứ theo khoản 2 Điều 101 Luật Đất đai 2024 không bồi thường. Hộ gia đình có trách nhiệm bàn giao mặt bằng.</t>
  </si>
  <si>
    <t xml:space="preserve">* Đơn giá áp dụng theo Quyết định số 08/2026/QĐ-UBND ngày 22/01/2026 và Quyết định số 12/2026/QĐ-UBND ngày 24/02/2026 của UBND tỉnh Khánh Hòa; Văn bản số 2093/SXD-KTVLXD ngày 05/03/2026 của Sở Xây dựng.  
</t>
  </si>
  <si>
    <t>- Căn cứ Điều 103 Luật đất đai năm 2024</t>
  </si>
  <si>
    <t>* Căn cứ Điều 108 Luật đất đai năm 2024.
* Áp dụng điểm a và điểm c khoản 1 Điều 19 Nghị định số 88/2024/NĐ-CP ngày 15/7/2024 của Chính phủ.
** Giá gạo được áp dụng theo Văn bản số 9017/STC-QLG&amp;CS ngày 03/07/2026 của Sở Tài chính tỉnh Khánh Hòa V/v giá gạo để tính hỗ trợ ổn định đời sống và ổn định sản xuất. Đơn giá: 13.438 đồng/kg</t>
  </si>
  <si>
    <r>
      <t>m</t>
    </r>
    <r>
      <rPr>
        <vertAlign val="superscript"/>
        <sz val="13"/>
        <color theme="1"/>
        <rFont val="Times New Roman"/>
        <family val="1"/>
      </rPr>
      <t>2</t>
    </r>
  </si>
  <si>
    <r>
      <t>- Đơn giá bồi thường, hỗ trợ thiệt hại đối với cây trồng, vật nuôi khi Nhà nước thu hồi đất trên địa bàn tỉnh Khánh Hoà áp dụng theo Quyết định số</t>
    </r>
    <r>
      <rPr>
        <b/>
        <i/>
        <sz val="13"/>
        <color theme="1"/>
        <rFont val="Times New Roman"/>
        <family val="1"/>
      </rPr>
      <t xml:space="preserve"> </t>
    </r>
    <r>
      <rPr>
        <i/>
        <sz val="13"/>
        <color theme="1"/>
        <rFont val="Times New Roman"/>
        <family val="1"/>
      </rPr>
      <t xml:space="preserve">35/2026/QĐ-UBND ngày 29/4/2026 của UBND tỉnh Khánh Hòa.
- Căn cứ Thông báo số 4004/TB-UBND ngày 8/7/2026 của UBND phường Nam Nha Trang. </t>
    </r>
  </si>
  <si>
    <t xml:space="preserve">- Đơn giá bồi thường, hỗ trợ thiệt hại đối với cây trồng, vật nuôi khi Nhà nước thu hồi đất trên địa bàn tỉnh Khánh Hoà áp dụng theo Quyết định số 35/2026/QĐ-UBND ngày 4/5/2026 của UBND tỉnh Khánh Hòa.
- Thông báo số 4004/TB-UBND ngày 8/7/2026 của UBND phường Nam Nha Trang. </t>
  </si>
  <si>
    <t>III/ Chính sách hỗ trợ (1 + 2 ):</t>
  </si>
  <si>
    <t>NGUYỄN KHÁNH NHIÊN</t>
  </si>
  <si>
    <t>PHÓ TRƯỞNG PHÒNG</t>
  </si>
  <si>
    <t>NGUYỄN KHÁNH HƯNG</t>
  </si>
  <si>
    <r>
      <t xml:space="preserve">Hộ ông Đặng Văn Sớm và bà Đinh Thị Gái
</t>
    </r>
    <r>
      <rPr>
        <sz val="13"/>
        <color theme="1"/>
        <rFont val="Times New Roman"/>
        <family val="1"/>
      </rPr>
      <t xml:space="preserve">
 - CCCD số 056057003887 cấp ngày 12/8/2021 do Cục CSQLHC về TTXH cấp cho ông Đặng Văn Sớm;
- CCCD số 056159005769 cấp ngày 16/9/2021 do Cục CSQLHC về TTXH cấp cho bà Đinh Thị Gái
</t>
    </r>
    <r>
      <rPr>
        <b/>
        <sz val="13"/>
        <color theme="1"/>
        <rFont val="Times New Roman"/>
        <family val="1"/>
      </rPr>
      <t xml:space="preserve">- Địa chỉ thường trú:
</t>
    </r>
    <r>
      <rPr>
        <sz val="13"/>
        <color theme="1"/>
        <rFont val="Times New Roman"/>
        <family val="1"/>
      </rPr>
      <t xml:space="preserve">Tổ 17 Vĩnh Xuân, Vĩnh Thái, Nha Trang (nay là phường Nam Nha Trang) (không thuộc vị trí giải toả).
</t>
    </r>
    <r>
      <rPr>
        <b/>
        <sz val="13"/>
        <color theme="1"/>
        <rFont val="Times New Roman"/>
        <family val="1"/>
      </rPr>
      <t>- Số điện thoại: ....</t>
    </r>
  </si>
  <si>
    <t xml:space="preserve"> - Tổng diện tích (Thửa 321/15)</t>
  </si>
  <si>
    <t xml:space="preserve">Phần diện tích đất: 163,5m² thuộc đất thủy lợi do Nhà nước quản lý theo hồ sơ địa chính 2015. </t>
  </si>
  <si>
    <t>Keo lá tràm 3 năm</t>
  </si>
  <si>
    <t xml:space="preserve"> Không hỗ trợ do đã được hỗ trợ tại thửa 71 tờ 8</t>
  </si>
  <si>
    <t xml:space="preserve"> Diện tích tính hỗ trợ: 207,7m² </t>
  </si>
  <si>
    <t>- Không bồi thường về đất:</t>
  </si>
  <si>
    <t>Không hỗ trợ do không đủ điều kiện bồi thường về đất</t>
  </si>
  <si>
    <t>Hộ gia đình không đủ điều kiện giải quyết tái định cư do không đủ điều kiện bồi thường về đất</t>
  </si>
  <si>
    <r>
      <t xml:space="preserve">Hộ ông Đặng Văn Nhiều và bà Trương Thị Tình tự kê khai
- </t>
    </r>
    <r>
      <rPr>
        <sz val="14"/>
        <rFont val="Times New Roman"/>
        <family val="1"/>
      </rPr>
      <t>CCCD số 056068004456</t>
    </r>
    <r>
      <rPr>
        <b/>
        <sz val="14"/>
        <rFont val="Times New Roman"/>
        <family val="1"/>
      </rPr>
      <t xml:space="preserve"> </t>
    </r>
    <r>
      <rPr>
        <sz val="14"/>
        <rFont val="Times New Roman"/>
        <family val="1"/>
      </rPr>
      <t>ngày 05/05/2023 do Cục CSQLHC về TTXH cấp cho ông  Đặng Văn Nhiều
- CCCD số 056165000978 cấp ngày 22/4/2021 do Cục CSQLHC về TTXH cấp cho bà Trương Thị Tình.</t>
    </r>
    <r>
      <rPr>
        <b/>
        <sz val="14"/>
        <rFont val="Times New Roman"/>
        <family val="1"/>
      </rPr>
      <t xml:space="preserve">
</t>
    </r>
    <r>
      <rPr>
        <sz val="14"/>
        <rFont val="Times New Roman"/>
        <family val="1"/>
      </rPr>
      <t>- Địa chỉ thường trú: Tổ 18 Vĩnh Xuân, Vĩnh Thái, Nha Trang (nay là phường Nam Nha Trang) (không thuộc vị trí giải tỏa).
- Địa chỉ thửa đất giải tỏa: Tổ dân phố Vĩnh Xuân, phường Nam Nha Trang, tỉnh Khánh Hòa.</t>
    </r>
    <r>
      <rPr>
        <b/>
        <sz val="14"/>
        <rFont val="Times New Roman"/>
        <family val="1"/>
      </rPr>
      <t xml:space="preserve">
- Số điện thoại: ...</t>
    </r>
  </si>
  <si>
    <t>- Đất có nguồn gốc thuộc Đất thủy lợi do Nhà nước quản lý</t>
  </si>
  <si>
    <t xml:space="preserve">      </t>
  </si>
  <si>
    <r>
      <t xml:space="preserve">Hộ ông Phan Thanh Hùng và bà Đinh Thị Thu
</t>
    </r>
    <r>
      <rPr>
        <sz val="13"/>
        <color theme="1"/>
        <rFont val="Times New Roman"/>
        <family val="1"/>
      </rPr>
      <t>- CCCD số 056069001435 ngày 28/4/2021 do Cục CSQLHC về TTXH cấp cho ông Phan Thanh Hùng;
        - CCCD số 037183013026 ngày 14/8/2021 do Cục CSQLHC về TTXH cấp cho bà Đinh Thị Thu;
- Địa chỉ thường trú: 18B đường Lê Hồng Phong, phường Nam Nha Trang, tỉnh Khánh Hòa (không thuộc vị trí giải toả)
- Địa chỉ thửa đất giải tỏa: Tổ dân phố Vĩnh Xuân, phường Nam Nha Trang, tỉnh Khánh Hòa</t>
    </r>
    <r>
      <rPr>
        <b/>
        <sz val="13"/>
        <color theme="1"/>
        <rFont val="Times New Roman"/>
        <family val="1"/>
      </rPr>
      <t xml:space="preserve">
- Số điện thoại: </t>
    </r>
    <r>
      <rPr>
        <sz val="13"/>
        <color theme="1"/>
        <rFont val="Times New Roman"/>
        <family val="1"/>
      </rPr>
      <t>0903525043</t>
    </r>
  </si>
  <si>
    <t xml:space="preserve"> - Tổng diện tích (Thửa 35/15)</t>
  </si>
  <si>
    <t xml:space="preserve"> - Tổng diện tích (Thửa 171/15)</t>
  </si>
  <si>
    <t>- Tổng diện tích (thửa 35  + 171/15)</t>
  </si>
  <si>
    <t xml:space="preserve">- Diện tích 23,2m2 thuộc đất thủy lợi do Nhà nước quản lý theo hồ sơ địa chính năm 2015 </t>
  </si>
  <si>
    <t xml:space="preserve">- Giấy xác nhận về thửa đất bị thu hồi để phục vụ cho công tác bồi thường,  hỗ trợ,  tái định cư khi Nhà nước thu hồi đất số 14055/GXN-KTHTĐT ngày 26/10/2026 của Phòng Kinh tế hạ tầng và đô thị phường Nam Nha Trang. 
</t>
  </si>
  <si>
    <t xml:space="preserve">- Giấy xác nhận về thửa đất bị thu hồi để phục vụ cho công tác bồi thường,  hỗ trợ,  tái định cư khi Nhà nước thu hồi đất số 14057/GXN-KTHTĐT ngày 26/10/2026 của Phòng Kinh tế Hạ tầng Đô thị phường Nam Nha Trang;
</t>
  </si>
  <si>
    <t>* Thửa 171/15</t>
  </si>
  <si>
    <t>- Nhà 1 tầng, móng xây đá chẻ, tường xây gạch dày 100, tường sơn nước, nền láng xi măng, cừa sắt, không trần, mái lợp tôn. DT: 5 x 6,5 = 32,50 m²</t>
  </si>
  <si>
    <t>Áp dụng Stt 02, Mục A, Quyết định số 08/2026/QĐ-UBND ngày 22/01/2026, đơn giá: 3.958.967 đ/m² XD. Điều chỉnh đơn giá với hệ số 1,12 do tường sơn nước; điều chỉnh tăng 8,5% do cửa sắt và giảm 8,5% do không trần quy định tại điểm 1 và điểm 12 , Phụ lục của Văn bản số 2093/SXD-KTVLXD  ngày 05/03/2026 của Sở Xây dựng, đơn giá bồi thường: 3.958.967 x (1,12 - 0) = 4.434.043 đ/m² XD.</t>
  </si>
  <si>
    <t>Áp dụng Stt 03, Mục C, Quyết định số 08/2026/QĐ-UBND ngày 22/01/2026, đơn giá: 741.439 đ/m² XD.</t>
  </si>
  <si>
    <t>m²XD</t>
  </si>
  <si>
    <t>- Mái che kèo gỗ tiêu chuẩn, trụ gạch, mái lợp tôn, nền xi măng, không vách. DT: 2 x 5 = 10 m²</t>
  </si>
  <si>
    <t>- Thổ kỳ móng xây đá chẻ, nền xi măng, tường xây gạch 100, mái đúc bê tông kích thước mái 750x750, tường quét vôi</t>
  </si>
  <si>
    <t>cấu kiện</t>
  </si>
  <si>
    <t>Áp dụng Stt 79, Mục C, Quyết định số 08/2026/QĐ-UBND ngày 22/01/2026, đơn giá: 741.439 đ/m² XD.</t>
  </si>
  <si>
    <t xml:space="preserve">- Bể chứa nước xây gạch dày 100, nền bê tông, đá 1x2. KT: 1,3 x 1,3 x 3,1 = 5,24 m³ </t>
  </si>
  <si>
    <t>Áp dụng Stt 72, Mục C, Quyết định số 08/2026/QĐ-UBND ngày 22/01/2026, đơn giá: 3.256.300 đ/m³. Điều chỉnh giảm 8,5% do xây gạch dày 100 quy định tại điểm 12 , Phụ lục của Văn bản số 2093/SXD-KTVLXD  ngày 05/03/2026 của Sở Xây dựng, đơn giá bồi thường: 3.256.300 x (1 - 0,085) = 2.979.515 đ/m³.</t>
  </si>
  <si>
    <t>- Giếng khoan phi 90 sâu 30m, 5 cái</t>
  </si>
  <si>
    <t>Áp dụng Stt 29, Mục C, Quyết định số 08/2026/QĐ-UBND ngày 22/01/2026, đơn giá: 1.016.519 đ/m sâu.</t>
  </si>
  <si>
    <t>m sâu</t>
  </si>
  <si>
    <t>- Nhà vệ sinh độc lập có hầm tự hoại, vách tôn, mái lợp tôn, cửa tôn, nền xi măng. DT: 1,6 x 2,4 = 3,84m²</t>
  </si>
  <si>
    <t>Áp dụng Stt 07, Mục C, Quyết định số 08/2026/QĐ-UBND ngày 22/01/2026, đơn giá: 6.960.234 đ/m²XD.</t>
  </si>
  <si>
    <r>
      <rPr>
        <b/>
        <sz val="13"/>
        <rFont val="Times New Roman"/>
        <family val="1"/>
      </rPr>
      <t>* Thửa 171/15:</t>
    </r>
    <r>
      <rPr>
        <sz val="13"/>
        <rFont val="Times New Roman"/>
        <family val="1"/>
      </rPr>
      <t xml:space="preserve"> Ao đìa, chiều sâu đào đất sâu 1,5m. </t>
    </r>
  </si>
  <si>
    <t>Đơn giá đất cụ thể khi Nhà nước thu hồi đất thực hiện dự án Khu đô thị hỗn hợp thành phố Nha Trang: 758.000 đ/m².</t>
  </si>
  <si>
    <t>* Thửa 35/15</t>
  </si>
  <si>
    <r>
      <rPr>
        <b/>
        <sz val="13"/>
        <rFont val="Times New Roman"/>
        <family val="1"/>
      </rPr>
      <t>* Thửa 35/15:</t>
    </r>
    <r>
      <rPr>
        <sz val="13"/>
        <rFont val="Times New Roman"/>
        <family val="1"/>
      </rPr>
      <t xml:space="preserve"> Ao đìa, chiều sâu đào đất sâu 1,5m. </t>
    </r>
  </si>
  <si>
    <t>3- Bồi thường chi phí đầu tư vào đất:</t>
  </si>
  <si>
    <t>- Kè BTCT. KT: (4,1 x 0,1 x 3) x 2 = 2,46m³</t>
  </si>
  <si>
    <t>Áp dụng Stt 49, Mục C, Quyết định số 08/2026/QĐ-UBND ngày 22/01/2026, đơn giá: 3.975.098 đ/m³.</t>
  </si>
  <si>
    <t>- Đan BTCT đổ tại chỗ, đá 1x2. KT: 47,15 x 4 x 0,1 = 18,86 m³</t>
  </si>
  <si>
    <t>Áp dụng Stt 59, Mục C, Quyết định số 08/2026/QĐ-UBND ngày 22/01/2026, đơn giá: 5.013.227 đ/m³.</t>
  </si>
  <si>
    <t>- Giếng khoan phi 90 sâu 30m, 2 cái</t>
  </si>
  <si>
    <t>- Cổng trụ gỗ, cánh khung thép hình kết hợp lưới B40, cao 1,7m, rộng 4,5m</t>
  </si>
  <si>
    <t>Áp dụng Stt 80, Mục C, Quyết định số 08/2026/QĐ-UBND ngày 22/01/2026, đơn giá: 3.574.642 đ/m². Điều chỉnh giảm 8,5% do cổng trụ gỗ quy định tại điểm 12 , Phụ lục của Văn bản số 2093/SXD-KTVLXD  ngày 05/03/2026 của Sở Xây dựng, đơn giá bồi thường: 3.574.642 x (1 - 0,085) = 3.270.797 đ/m².</t>
  </si>
  <si>
    <t>- Hàng rào lưới B40 cao 1,7m, trụ BTCT, dài 47 md</t>
  </si>
  <si>
    <t>m dài</t>
  </si>
  <si>
    <t xml:space="preserve">Áp dụng Stt 12.2, Mục C, Quyết định số 08/2026/QĐ-UBND ngày 22/01/2026 , đơn giá: 627.276 đ/m dài. Điều chỉnh tăng 8,5% do cao 1,7m quy định tại điểm 12 , Phụ lục của Văn bản số 2093/SXD-KTVLXD  ngày 05/03/2026 của Sở Xây dựng, đơn giá bồi thường: 627.276  x (1 + 0,085) = 680.594 đ/m dài.
</t>
  </si>
  <si>
    <t>- Trứng cá loại A</t>
  </si>
  <si>
    <t>(Áp tương đương giá cây ô ma loại A)</t>
  </si>
  <si>
    <t>- Bạch đàn 8 năm</t>
  </si>
  <si>
    <t>(Áp tương đương giá cây bạch đàn 3 năm)</t>
  </si>
  <si>
    <t>- Bạch đàn 5 năm</t>
  </si>
  <si>
    <t>- Bạch đàn 4 năm</t>
  </si>
  <si>
    <t>* Áp dụng khoản 1 Điều 13 Quyết định số 17/2024/QĐ-UBND ngày 29/8/2024 của UBND tỉnh Khánh Hòa và Văn bản số 1718/UBND-VP ngày 21/10/2025 của UBND phường Nam Nha Trang</t>
  </si>
  <si>
    <t xml:space="preserve">* Giá đất được áp dụng theo Điều 7 tại quy định về bảng giá đất lần đầu áp dụng từ 01/01/2026 trên địa bàn tỉnh Khánh Hòa ban hành kèm theo Nghị Quyết số 15/2025/NQ-HĐND ngày 18/12/2025 của Hội đồng nhân dân tỉnh Khánh Hòa. </t>
  </si>
  <si>
    <t>- Hỗ trợ chuyển đổi nghề nghiệp và tạo việc làm tính theo diện tích giải tỏa. Mức hỗ trợ bằng (03) lần giá đất nông nghiệp  trong Bảng giá đất hiện hành của tỉnh Khánh Hòa , đơn giá: 108.000đ/m² x 3 lần = 324.000đ/m²</t>
  </si>
  <si>
    <r>
      <t>DT hỗ trợ: 8.221,6m</t>
    </r>
    <r>
      <rPr>
        <b/>
        <vertAlign val="superscript"/>
        <sz val="13"/>
        <color theme="1"/>
        <rFont val="Times New Roman"/>
        <family val="1"/>
      </rPr>
      <t>2</t>
    </r>
  </si>
  <si>
    <t xml:space="preserve">I- Giấy xác nhận về thửa đất bị thu hồi để phục vụ cho công tác bồi thường,  hỗ trợ,  tái định cư khi Nhà nước thu hồi đất số 14066/GXN–KTHTĐT ngày 26/10/2026 của Phòng Kinh tế, hạ tầng và Đô thị phường Nam Nha Trang xác nhận: </t>
  </si>
  <si>
    <t xml:space="preserve"> - Tổng diện tích (Thửa 343/15)</t>
  </si>
  <si>
    <r>
      <t xml:space="preserve">Thửa đất số 343 tờ bản đồ số 15 (theo bản đồ địa chính đo đạc bổ sung), Tổng diện tích: 5.065,1m², diện tích thu hồi: 5.065,1m², diện tích còn lại: 0,0m2 thuộc Bản đồ địa chính phường Nam Nha Trang được Sở Nông nghiệp và Môi trường thẩm định ngày 16/9/2025, đối chiếu tương ứng các thửa đất:  
</t>
    </r>
    <r>
      <rPr>
        <sz val="13"/>
        <color theme="1"/>
        <rFont val="Times New Roman"/>
        <family val="1"/>
      </rPr>
      <t xml:space="preserve">- Đối chiếu sổ mục kê năm 2002: tương ứng một phần thửa đất số 73 tờ bản đồ số 9 do ông Nguyễn Bàng kê khai, diện tích: 12.100,0m2, loại đất: Ao(hồ), ghi chú: thời điểm đo đạc, kiểm kê lập sổ dã ngoại để biên tập mục kê năm 2002, đoàn đo đạc chưa xác định được chủ sử dụng nên tại phần ghi chú thể hiện “UBND xã”, nhưng thực tế đất người dân đang quản lý, sử dụng; một phần thửa đất số 69 tờ bản đồ số 9 do ông Nguyễn Văn Lai kê khai, diện tích: 140.380,0m2, loại đất: Ao(hồ).
- Đối chiếu sổ mục kê năm 2015: Tương ứng một phần thửa đất số 23 tờ bản đồ số 15 do ông Nguyễn Bàng kê khai, diện tích: 13.376,8m2, loại đất: TSL; một phần thửa đất số 58 tờ bản đồ số 15 do UBND phường kê khai, diện tích 54.413,3m2, loại đất: SON (diện tích đất sông thuộc thửa đất là 149,4m2).
</t>
    </r>
    <r>
      <rPr>
        <b/>
        <sz val="13"/>
        <color theme="1"/>
        <rFont val="Times New Roman"/>
        <family val="1"/>
      </rPr>
      <t>* Nguồn gốc:</t>
    </r>
    <r>
      <rPr>
        <sz val="13"/>
        <color theme="1"/>
        <rFont val="Times New Roman"/>
        <family val="1"/>
      </rPr>
      <t xml:space="preserve">
  Đất do ông Nguyễn Bàng chiếm dụng trước năm 2002 (không có giấy tờ chứng minh).
Ngày 31/01/2002, ông Nguyễn Bàng lập Giấy xác nhận đất đìa nuôi tôm tại khu vực ngã tư, xã Vĩnh Thái, thành phố Nha Trang với diện tích theo mặt nước là 16.000m2 được UBND xã Vĩnh Thái xác nhận ngày 01/02/2002 với nội dung: ông Nguyễn Bàng đang sử dụng lô đất đìa số 84 diện tích 1.280,0m2, số 73 diện tích 12.100,0m2 tờ bản đồ số 9 (tên Nguyễn Bàn và Nguyễn Bàng là cùng 1 người).
Ngày 19/12/2011, ông Nguyễn Bàng làm Đơn xin xác nhận nhà đất với diện tích 15.668,0m2 tại 21 Đồng Rọ, Vĩnh Xuân, xã Vĩnh Thái được UBND xã Vĩnh Thái xác nhận ngày 03/01/2012 với nội dung: ông Nguyễn Bàng đang quản lý sử dụng căn nhà cấp 4 tại 1 phần thửa đất số 64, tờ bản đồ số 09, Đồng Rọ, thôn Vĩnh Xuân, xã Vĩnh Thái. Diện tích sử dụng nằm trong quy hoạch Công viên Tây Lê Hồng Phong chưa có quyết định thu hồi đất (kèm theo Trích đo địa chính thửa đất do Văn phòng Đăng ký quyền sử dụng đất Khánh Hòa xác lập ngày 28/12/2009).
Ngày 20/02/2014, ông Nguyễn Bàng làm Đơn xin xác nhận đìa nuôi trồng thủy sản để ký hợp đồng tiêu thụ điện với diện tích 15.668,0m2 tại 21 Đồng Rọ, Vĩnh Xuân, xã Vĩnh Thái được UBND xã Vĩnh Thái xác nhận ngày 20/02/2014 với nội dung: ông Nguyễn Bàng có tên trong sổ mục kê đất sử dụng thửa 73, 84 tờ bản đồ số 09 xã Vĩnh Thái. Kính chuyển cơ quan chức năng giải quyết theo quy định.
Trong quá trình sử dụng, ông Nguyễn Bàng và bà Tô Thị Pho đã chuyển nhượng, tặng cho đất cho một số người.
Diện tích kê khai sử dụng của hộ ông Nguyễn Bàng (chết) và bà Tô Thị Pho là 5.065,1m², chênh lệch giảm so với giấy tờ là do đã tặng cho, chuyển nhượng cho nhiều người. Trong đó:
</t>
    </r>
    <r>
      <rPr>
        <b/>
        <sz val="13"/>
        <color theme="1"/>
        <rFont val="Times New Roman"/>
        <family val="1"/>
      </rPr>
      <t>+ Phần diện tích 149,4m2 thuộc đất sông do Nhà nước quản lý theo hồ sơ địa chính năm 2015.
+ Phần diện tích 4.915,7m2 sử dụng ổn định, toàn bộ khuôn viên ranh giới thửa đất đã được xác định, không có tranh chấp với những người sử dụng đất liền kề. Thửa đất không thuộc quỹ đất 5%, đất công, đất khác do Nhà nước quản lý.</t>
    </r>
    <r>
      <rPr>
        <sz val="13"/>
        <color theme="1"/>
        <rFont val="Times New Roman"/>
        <family val="1"/>
      </rPr>
      <t xml:space="preserve">
- Tổng diện tích đất kê khai: 5.065,1m²
- Thời điểm sử dụng đất: hộ gia đình tiếp tục sử dụng ổn định từ năm 2002 cho đến năm 2022 tự đổ đất chuyển mục đích sang đất trồng cây hàng năm và sử dụng ổn định đến nay
- Loại đất: ONT+CHN+SON 
</t>
    </r>
    <r>
      <rPr>
        <b/>
        <sz val="13"/>
        <color theme="1"/>
        <rFont val="Times New Roman"/>
        <family val="1"/>
      </rPr>
      <t>- Thời điểm hình thành tài sản nhà, công trình vật kiến trúc:</t>
    </r>
    <r>
      <rPr>
        <sz val="13"/>
        <color theme="1"/>
        <rFont val="Times New Roman"/>
        <family val="1"/>
      </rPr>
      <t xml:space="preserve">
  + Công trình nhà ở xây dựng và cải tạo năm 2009 (trước ngày 01/7/2014) - không có giấy phép xây dựng (theo Trích đo địa chính thửa đất do Văn phòng Đăng ký đất đai Khánh Hòa lập ngày 28/12/2009).
  + Công trình tạm khác phục vụ sản xuất nông nghiệp được tạo lập trước thời điểm có Thông báo thu hồi đất.
- Thời điểm tạo lập cây trồng, vật nuôi: được tạo lập hợp pháp trước thời điểm có Thông báo thu hồi đất.
</t>
    </r>
    <r>
      <rPr>
        <b/>
        <sz val="13"/>
        <color theme="1"/>
        <rFont val="Times New Roman"/>
        <family val="1"/>
      </rPr>
      <t xml:space="preserve">* Về xác minh tình trạng cư trú: </t>
    </r>
    <r>
      <rPr>
        <sz val="13"/>
        <color theme="1"/>
        <rFont val="Times New Roman"/>
        <family val="1"/>
      </rPr>
      <t xml:space="preserve">
Hộ gia đình ăn ở, sinh hoạt ổn định tại vị trí giải toả.
+ Số nhân khẩu hiện có: 11 nhân khẩu (theo Biên bản kiểm tra ngày 16/01/2026, 17/01/2026 của Công an phường Nam Nha Trang).
+ Thời điểm cư trú: hộ gia đình thực tế cư trú từ năm 2009, đến năm 2012 mới chuyển hộ khẩu về thửa đất giải tỏa tại thôn Vĩnh Xuân, xã Vĩnh Thái, thành phố Nha Trang.
-</t>
    </r>
    <r>
      <rPr>
        <b/>
        <sz val="13"/>
        <color theme="1"/>
        <rFont val="Times New Roman"/>
        <family val="1"/>
      </rPr>
      <t xml:space="preserve"> Tình trạng nhà ở, đất ở trên địa bàn phường Nam Nha Trang: </t>
    </r>
    <r>
      <rPr>
        <sz val="13"/>
        <color theme="1"/>
        <rFont val="Times New Roman"/>
        <family val="1"/>
      </rPr>
      <t>bà Tô Thị Pho không còn nhà ở, đất ở sở hữu riêng trên địa bàn phường Nam Nha Trang. Tuy nhiên, bà Tô Thị Pho đang đồng sử dụng với ông Tô Bá Hùng, bà Tô Thị Phi, bà Tô Thị Lý, ông Tô Bá Cường, ông Tô Bá Quyết thửa đất số 52 tờ bản đồ số 30 với diện tích 59,2m2 tại địa chỉ số 151C Đồng Nai, phường Phước Hải, Nha Trang (nay là phường Nam Nha Trang) được UBND thành phố Nha Trang cấp Giấy chứng nhận quyền sử dụng đất số CH09170 ngày 17/10/2023 (thửa đất có nguồn gốc nhận thừa kế theo văn bản thỏa thuận phân chia di sản thừa kế sau khi ông Tô Bá Hoàn và bà Phạm Thị Vòng chết).
- Hộ ông Nguyễn Bàng (chết) và bà Tô Thị Pho đang trực tiếp sản xuất nông nghiệp và có nguồn thu nhập ổn định từ sản xuất nông nghiệp trên thửa đất bị thu hồi. Số nhân khẩu đang trực tiếp sản xuất nông nghiệp: 05 khẩu (bà Tô Thị Pho, ông Nguyễn Thạch, bà Huỳnh Như Thủy, ông Nguyễn Văn Nghiệm, bà Nguyễn Thị Nho).
Bà Tô Thị Pho, ông Nguyễn Thạch, bà Huỳnh Như Thủy, ông Nguyễn Văn Nghiệm, bà Nguyễn Thị Nho không thuộc các đối tượng sau đây:
a)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b) Người hưởng lương hưu;
c) Người nghỉ mất sức lao động, thôi việc được hưởng trợ cấp bảo hiểm xã hội hằng tháng;
d) Người lao động có hợp đồng lao động không xác định thời hạn.  
- Tổng diện tích đất nông nghiệp của hộ gia đình, cá nhân đang trực tiếp sản xuất tại thửa đất bị thu hồi: 4.765,7m2
- Tổng diện tích đất nông nghiệp của hộ gia đình, cá nhân đang trực tiếp sản xuất tại địa phương: 4.765,7m2</t>
    </r>
  </si>
  <si>
    <t>1- Không bồi thường về Đất:</t>
  </si>
  <si>
    <t>Đất do Nhà nước quản lý. Căn cứ theo khoản 2 Điều 101 Luật Đất đai 2024 không bồi thường. Hộ gia đình có trách nhiệm bàn giao mặt bằng.</t>
  </si>
  <si>
    <t xml:space="preserve">- Phần diện tích 149,9 m² thuộc đất Sông do Nhà nước 
quản lý theo hồ sơ địa chính năm 2015
</t>
  </si>
  <si>
    <t>- Bồi thường đất ở:</t>
  </si>
  <si>
    <t xml:space="preserve">+ Thửa đất tiếp giáp vị trí 3 các đường còn lại đơn giá đất ở: 3.349.000 đ/m². </t>
  </si>
  <si>
    <t xml:space="preserve">+Áp dụng điểm a khoản 4 Điều 11 Nghị định số 103/2024/NĐ-CP ngày 30/7/2024 của Chính phủ: Sử dụng đất từ sau ngày 1/7/2004 đến trước ngày 01/7/2014, mức bồi thường 100%, nhưng trừ 80% tiền sử dụng đất theo đơn giá tại Nghị Quyết số 15/2025/NQ-HĐND ngày 18/12/2025 của Hội đồng nhân dân tỉnh Khánh Hòa. Giá tiền sử dụng đất là (816.750 đ/m² x 80%) = 653.400 đ/m²
'+ Đơn giá bồi thường sau khi trừ 80% tiền sử dụng đất:
  (3.349.000-  653.400) = 2.695.600 đ/m². </t>
  </si>
  <si>
    <t>- Bồi thường đất cây hằng năm:</t>
  </si>
  <si>
    <t xml:space="preserve"> * Căn cứ Điều 102, 105 Luật đất đai năm 2024, Điều 14 Nghị định số 88/2024/NĐ-CP ngày 15/7/2024 của Chính phủ, Điều 5 Quyết định số 17/2024/QĐ-UBND ngày 29/8/2024 và Điều 10 Quyết định số 32/2026/QĐ-UBND ngày 29/4/2026 của UBND tỉnh Khánh Hòa. 
- Căn cứ Điều 10 Quyết đinh số 32/QĐ-UBND ngày 29/4/2026 của UBND tỉnh Khánh Hòa. </t>
  </si>
  <si>
    <t xml:space="preserve">*  Đơn giá áp dụng theo Quyết định số 08/2026/QĐ-UBND ngày 22/01/2026 và Quyết định số 12/2026/QĐ-UBND ngày 24/02/2026 của UBND tỉnh Khánh Hòa; Văn bản số 2093/SXD-KTVLXD ngày 05/03/2026 của Sở Xây dựng. </t>
  </si>
  <si>
    <t>*Thửa 01 tờ 11</t>
  </si>
  <si>
    <t>- Cột kèo gỗ tường xây gạch dày 100 + vách tole, không trần, nền xi măng, cửa gỗ thường. Diện tích 11,3m x 2,65m = 29,95m²</t>
  </si>
  <si>
    <t xml:space="preserve">Áp dụng STT 17 Mục A, theo Quyết định số 08/2026/QĐ-UBND ngày 22/01/2026. Đơn giá 2.115.140đ/m2XD. Đơn giá điều chỉnh tăng 15% do có tường xây gạch dày 100 và cửa gỗ thường theo quy định tại Phụ lục của Văn bản số 2093/SXD-KTVLXD ngày 5/3/2026. Đơn giá bồi thường 2.115.140 x (1+0,15) = 2.432.411đ/m²XD. </t>
  </si>
  <si>
    <t>- Chuồng trại: Tường bao xây gạch, vách ngăn xây gạch cao 1,2m cột trụ gạch, mái lợp tole cao 2,4m, móng xây đá chẻ, nền xi măng. Diện tích 14,3m x 3,25m = 46,48m²</t>
  </si>
  <si>
    <t xml:space="preserve">Áp dụng STT 87.3 Mục C, theo Quyết định số 08/2026/QĐ-UBND ngày 22/01/2026. Đơn giá 2.065.326đ/m2XD. Đơn giá điều chỉnh tăng 8,5% do vách ngăn cao 1,2m; điều chỉnh giảm 8,5% do không có xà gồ thép theo quy định tại Phụ lục của Văn bản số 2093/SXD-KTVLXD ngày 5/3/2026. Đơn giá bồi thường 2.065.326đ/m2XD.  </t>
  </si>
  <si>
    <t>- Cột kèo gỗ, vách ván + lưới B40, mái tole, không trần, nền đất. Diện tích 19,5m x 2,7m = 52,65m²</t>
  </si>
  <si>
    <t>Áp dụng STT 16 Mục A, theo Quyết định số 08/2026/QĐ-UBND ngày 22/01/2026. Đơn giá 2.401.296đ/m2XD.</t>
  </si>
  <si>
    <t>- Mái che cột kèo gỗ, mái tole, nền đất. Diện tích 2m x 4m = 8m²</t>
  </si>
  <si>
    <t>Áp dụng STT 2 Mục C, theo Quyết định số 08/2026/QĐ-UBND ngày 22/01/2026. Đơn giá 409.513đ/m2XD.</t>
  </si>
  <si>
    <t>* Thửa 02/11.</t>
  </si>
  <si>
    <t>- Chuồng gà: Cột kèo gỗ, vách ván, mái lợp ván, không trần, nền đất, cửa gỗ. Diện tích: 3,6m x 3,2m = 11,52m²</t>
  </si>
  <si>
    <t xml:space="preserve">Áp dụng STT 87.11 Mục C, theo Quyết định số 08/2026/QĐ-UBND ngày 22/01/2026. Đơn giá 877.156đ/m2XD. Đơn giá điều chỉnh giảm 15% do vách ván và không có móng xây đá chẻ; Tăng 8,5% do cửa gỗ theo quy định điểm 12 tại Phụ lục của Văn bản số 2093/SXD-KTVLXD ngày 5/3/2026. Đơn giá bồi thường 877.156 * (1-0,085) = 802.598 đ/m²XD. </t>
  </si>
  <si>
    <t xml:space="preserve">- Tường rào lưới B40 cao 1,5m, trụ gỗ, dài 37,7m dài. </t>
  </si>
  <si>
    <t xml:space="preserve">Áp dụng STT 11 Mục C, theo Quyết định số 08/2026/QĐ-UBND ngày 22/01/2026. Đơn giá 537.955đ/m dài. Điều chỉnh đơn giá giảm 8,5% do trụ gỗ theo quy định tại điểm 12 tại Phụ lục của Văn bản số 2093/SXD-KTVLXD ngày 5/3/2026 của Sở Xây dựng. Đơn giá: 537.955 x (1-0,085) = 492.229 đ/m dài. </t>
  </si>
  <si>
    <t>* Thửa 04/11</t>
  </si>
  <si>
    <t xml:space="preserve">- Nhà 1 tầng, móng xây đá chẻ, tường xây gạch dày 100, tường không quyét vôi, nền xi măng, cửa gỗ, trần ván ép, mái lợp tole (có hệ thống điện nước). Diện tích 4,4 x 3,4 = 14,96m². </t>
  </si>
  <si>
    <t>Áp dụng STT 1 Mục A, theo Quyết định số 08/2026/QĐ-UBND ngày 22/01/2026. Đơn giá 3.751.000đ/m2XD. Điều chỉnh giảm 8,5% do tường không quét vôi; Điều chỉnh tăng 15% do có trần và có hệ thống điện nước theo quy định tại điểm 12, tại Phụ lục của Văn bản số 2093/SXD-KTVLXD ngày 5/3/2026 của Sở Xây dựng. Đơn giá: 3.751.000 x (1+0,085) = 4.069.835 đ/m²XD</t>
  </si>
  <si>
    <t>- Cột kèo gỗ, tường xây gạch lửng kết hợp lưới B40, mái lợp tole, nền láng xi măng, cửa khu sắt-pano tôn, không trần. Diện tích 3,6m x 3m = 10,8 m²</t>
  </si>
  <si>
    <t xml:space="preserve">Áp dụng STT 17 Mục C, theo Quyết định số 08/2026/QĐ-UBND ngày 22/01/2026. Đơn giá 2.115.140đ/m2XD. Điều chỉnh tăng 8,5% do tường xây gạch + lưới B40 theo quy định tại điểm 12, Phụ lục của Văn bản số 2093/SXD-KTVLXD ngày 5/3/2026 của Sở Xây dựng. Đơn giá: 2.115.140 x (1+0,085) = 2.294.927 đ/m²XD 
</t>
  </si>
  <si>
    <t>- Cột kèo gỗ, tường xây gạch lửng kết hợp tole, mái lợp tôn, nền láng xi măng, cửa khung sắt, pano tôn, không trần (có hệ vệ sinh). Diện tích: 3,25 m × 3,4 m = 11,1 m².</t>
  </si>
  <si>
    <t xml:space="preserve">Áp dụng STT 17 Mục A, theo Quyết định số 08/2026/QĐ-UBND ngày 22/01/2026. Đơn giá 2.115.140đ/m2XD. Điều chỉnh đơn giá với hệ số 1,1 do có hệ vệ sinh; Điều chỉnh tăng 8,5% do tường xây gạch + lưới B40 theo quy định tại điểm 1 và điểm 12, Phụ lục của Văn bản số 2093/SXD-KTVLXD ngày 5/3/2026 của Sở Xây dựng. Đơn giá: 2.115.140 x (1,1 + 0,085) = 2.506.441 đ/m²XD 
</t>
  </si>
  <si>
    <t>- Cột kèo gỗ, mái lợp tôn, vách ván, nền đất, không cửa, không trần. Diện tích: 4,6 m × 3,6 m = 16,6 m².</t>
  </si>
  <si>
    <t xml:space="preserve">Áp dụng STT 16 Mục C, theo Quyết định số 08/2026/QĐ-UBND ngày 22/01/2026. Đơn giá 2.401.296đ/m2XD. 
</t>
  </si>
  <si>
    <t>Tường rào lưới B40 cao 1,5 m, trụ gỗ, dài 41,8 m.</t>
  </si>
  <si>
    <t>md</t>
  </si>
  <si>
    <t xml:space="preserve">Áp dụng STT 11 Mục C, theo Quyết định số 08/2026/QĐ-UBND ngày 22/01/2026. Đơn giá 537.955đ/m dài. Điều chỉnh đơn giá giảm 8,5% do trụ gỗ theo quy định tại điểm 12 tại Phụ lục của Văn bản số 2093/SXD-KTVLXD ngày 5/3/2026 của Sở Xây dựng. Đơn giá: 537.955 x (1 - 0,085) = 492.229 đ/m dài
</t>
  </si>
  <si>
    <t>- Thửa 08/11</t>
  </si>
  <si>
    <t>- Nhà cột kèo gỗ, vách tôn, mái lợp tôn, nền lát gạch men, cửa khung gỗ - pano tôn, trần nhựa. Diện tích 4,3m x 5,8m = 24,94m²</t>
  </si>
  <si>
    <t xml:space="preserve">Áp dụng STT 18 Mục A, theo Quyết định số 08/2026/QĐ-UBND ngày 22/01/2026. Đơn giá 2.309.288đ/m2XD. Điều chỉnh đơn giá cộng thêm 481.600đ/m² do nền lát gạch men theo quy định tại điểm 3, Phụ lục tại Văn bản số 2093/SXD-KTVLXD ngày 05/03/2026 của Sở Xây dựng. Đơn giá: 2.309.288 + 481.600 =  2.790.888 đ/m²XD. 
</t>
  </si>
  <si>
    <t>- Nhà 1 tầng móng xây đá chẻ, tường xây gạch dày 100, tường sơn nước (có ốp gạch men tường), mái tôn, không trần, nền lát gạch men, cửa khung sắt - pano tôn (hệ vệ sinh hoàn chỉnh). Diện tích 5,8m x 4,6m = 26,68m²</t>
  </si>
  <si>
    <t>+ Diện tích ốp men tường (3,7 + 22,5) x 1,5 = 39,3m²</t>
  </si>
  <si>
    <t xml:space="preserve">Áp dụng STT 37, Phụ lục I, theo Quyết định số 12/2026/QĐ-UBND ngày 24/02/2026. Đơn giá 481.600đ/m².
</t>
  </si>
  <si>
    <t>- Cột kèo gỗ, tường xây gạch lững kết hợp tôn+lưới b40, mái tôn, không trần, nền xi măng, cửa tôn. Diện tích 2,8m x 5,7m = 15,96m²</t>
  </si>
  <si>
    <t xml:space="preserve">Áp dụng STT 18 Mục A, theo Quyết định số 08/2026/QĐ-UBND ngày 22/01/2026. Đơn giá 2.309.288đ/m2XD. Điều chỉnh đơn giá giảm 8,5% do không trần theo quy định tại điểm 12, Phụ lục của Văn bản số 2093/SXD-KTVLXD ngày 05/03/2026 của Sở Xây dựng. Đơn giá: 2.309.288 * (1-0,085)=  2.112.999đ/m²XD
</t>
  </si>
  <si>
    <t>- Cột kèo gỗ, tường xây gạch vách tôn, mái lợp tôn, không trần, nền xi măng, cửa lưới B40. Diện tích 3,3m x 4,5m = 14,85m²</t>
  </si>
  <si>
    <t>Áp dụng STT 19 Mục A, theo Quyết định số 08/2026/QĐ-UBND ngày 22/01/2026. Đơn giá 3.003.570đ/m2XD. Điều chỉnh đơn giá tăng 8,5% do nền xi măng theo quy định tại điểm 12, Phụ lục tại Văn bản số 2093/SXD-KTVLXD ngày 5/3/2026 của Sở Xây dựng. Đơn giá: 3.003.570 x (1+0,085) = 3.258.873 đ/m²XD</t>
  </si>
  <si>
    <t>- Tường rào xây gạch cao 1,3m tính từ mặt móng, móng xây đá chẻ dài 9,1md</t>
  </si>
  <si>
    <t xml:space="preserve">Áp dụng STT 9 Mục C, theo Quyết định số 08/2026/QĐ-UBND ngày 22/01/2026. Đơn giá 1.112.824đ/m dài. Điều chỉnh đơn giá giảm 8,5% do cao 1,3m theo quy định tại điểm 12, Phụ lục tại Văn bản số 2093/SXD-KTVLXD ngày 5/3/2026 của Sở Xây dựng. Đơn giá: 1.112.824 x (1 - 0,085) = 1.018.234 đ/m dài. 
</t>
  </si>
  <si>
    <t>* Thửa 03/11</t>
  </si>
  <si>
    <t xml:space="preserve">- Tường ngăn cao 1m xây gạch (trên lưới B40), trụ xây gạch, mái lợp tole, xà gồ gỗ, móng xây đá chẻ, nền XM, diện tích: 3,4m × 2,9m = 9,86 m². 
+ Lưới B40 cao 1,2m, dài 8,2m. </t>
  </si>
  <si>
    <t xml:space="preserve">Áp dụng STT 87.3 Mục C, theo Quyết định số 08/2026/QĐ-UBND ngày 22/01/2026. Đơn giá 2.065.326đ/m2XD. Điều chỉnh đơn giá tăng 8,5% do trên có lưới B40 cao 1,2m  và dài 8,2m; điều chỉnh giảm 8,5% do xà gồ gỗ theo quy định tại điểm 12, Phụ lục tại Văn bản số 2093/SXD-KTVLXD ngày 5/3/2026 của Sở Xây dựng. Đơn giá: 2.065.326 đ/m²XD. 
</t>
  </si>
  <si>
    <t>- Tường ngăn cao 1,5m xây gạch + tole, trụ xây gạch, mái lợp tole, xà gồ gỗ, móng xây đá chẻ, nền XM, diện tích:
2,4m × 9,7m = 23,28 m². 
+ Vách tole cao 1,3m, dài 24m</t>
  </si>
  <si>
    <t xml:space="preserve">Áp dụng STT 87.3 Mục C, theo Quyết định số 08/2026/QĐ-UBND ngày 22/01/2026. Đơn giá 2.065.326đ/m2XD. Điều chỉnh đơn giá tăng 8,5% do tường ngăn cao 1,5m xây gạch + tole cao 1,3m; điều chỉnh giảm 8,5% do xà gồ gỗ theo quy định tại điểm 12, Phụ lục tại Văn bản số 2093/SXD-KTVLXD ngày 5/3/2026 của Sở Xây dựng. Đơn giá: 2.065.326 đ/m²XD. 
</t>
  </si>
  <si>
    <t>- Mái che khung cột gỗ, nền xi măng, mái tole, diện tích:0,6m × 7,4m = 4,44m²</t>
  </si>
  <si>
    <t xml:space="preserve">Áp dụng STT 3 Mục C, theo Quyết định số 08/2026/QĐ-UBND ngày 22/01/2026. Đơn giá 741.439đ/m2XD.
</t>
  </si>
  <si>
    <t>- Mái che cột kèo gỗ, mái tole, nền đất, diện tích: (4m × 4m) + (1,5m × 3,6m) = 21,4m²</t>
  </si>
  <si>
    <t xml:space="preserve">Áp dụng STT 2 Mục C, theo Quyết định số 08/2026/QĐ-UBND ngày 22/01/2026. Đơn giá 409.513đ/m2XD.
</t>
  </si>
  <si>
    <t>- Hàng rào trụ gỗ cao 1,7m, dài 22 md</t>
  </si>
  <si>
    <t xml:space="preserve">Áp dụng STT 12.1 Mục C, theo Quyết định số 08/2026/QĐ-UBND ngày 22/01/2026. Đơn giá 357.656đ/mdài.
</t>
  </si>
  <si>
    <r>
      <t>- Ốp gỗ dưới mái tole. Diện tích: (2,4m x 9,7m) + (7,5m x 1,3m) = 33,03 m</t>
    </r>
    <r>
      <rPr>
        <vertAlign val="superscript"/>
        <sz val="13"/>
        <rFont val="Times New Roman"/>
        <family val="1"/>
      </rPr>
      <t xml:space="preserve">2 </t>
    </r>
  </si>
  <si>
    <t xml:space="preserve">Áp dụng STT 49, Mục A, Phụ lục I, theo Quyết định số 12/2026/QĐ-UBND ngày 24/02/2026. Đơn giá 792.819đ/m².
</t>
  </si>
  <si>
    <t xml:space="preserve">* Thửa 05/11. </t>
  </si>
  <si>
    <t>- Nhà 1 tầng, móng xây đá chẻ, tường xây gạch dày 100, tường sơn nước (tường vệ sinh ốp men cao 1,6 m), nền lát gạch men, cửa gỗ, không trần, mái tôn, mặt tiền có ô văng (có hệ vệ sinh hoàn chỉnh).Diện tích: 4 m × 14,1 m = 56,4 m²</t>
  </si>
  <si>
    <t xml:space="preserve">Áp dụng STT 03 Mục A, theo Quyết định số 08/2026/QĐ-UBND ngày 22/01/2026. Đơn giá 4.076.248đ/m2XD. Điều chỉnh đơn giá với hệ số 1,12 do tường sơn nước; điều chỉnh tăng 8,5% do có hệ vệ sinh hoàn chỉnh  và cộng vào đơn giá 481.600đ/m² do nền lát gạch men theo quy định tại điểm 1, điểm 3 và điểm 12 Phụ lục tại Văn bản số 2093/SXD-KTVLXD ngày 05/03/2026 của Sở Xây dựng. Đơn giá: (4.076.248 * (1,12+0,085)) + 481.600 =  4.911.879đ/m²XD. </t>
  </si>
  <si>
    <t>+ Diện tích ốp men tường: 3,5 m × 1,4 m = 4,9 m²</t>
  </si>
  <si>
    <r>
      <t xml:space="preserve">- Sân láng xi măng, diện tích: </t>
    </r>
    <r>
      <rPr>
        <sz val="13"/>
        <color theme="1"/>
        <rFont val="Times New Roman"/>
        <family val="1"/>
      </rPr>
      <t>7,8 m × 2,5 m = 19,5 m²</t>
    </r>
  </si>
  <si>
    <t xml:space="preserve">Áp dụng STT 17 Mục C, theo Quyết định số 08/2026/QĐ-UBND ngày 22/01/2026. Đơn giá 230.583đ/m2XD.
</t>
  </si>
  <si>
    <r>
      <t xml:space="preserve">- Tường rào xây gạch cao </t>
    </r>
    <r>
      <rPr>
        <sz val="13"/>
        <color theme="1"/>
        <rFont val="Times New Roman"/>
        <family val="1"/>
      </rPr>
      <t>2,3 m, tính từ mặt móng, móng xây đá chẻ, dài 2,8 md</t>
    </r>
  </si>
  <si>
    <t xml:space="preserve">Áp dụng STT 09 Mục C, theo Quyết định số 08/2026/QĐ-UBND ngày 22/01/2026. Đơn giá 1.453.719đ/m dài
</t>
  </si>
  <si>
    <r>
      <t xml:space="preserve">- Mái che cột kèo gỗ, mái lợp tôn, nền láng xi măng, không vách. Diện tích: </t>
    </r>
    <r>
      <rPr>
        <sz val="13"/>
        <color theme="1"/>
        <rFont val="Times New Roman"/>
        <family val="1"/>
      </rPr>
      <t>2,7 m × 7,6 m = 20,52 m²</t>
    </r>
  </si>
  <si>
    <t xml:space="preserve">Áp dụng STT 03 Mục C, theo Quyết định số 08/2026/QĐ-UBND ngày 22/01/2026. Đơn giá 741.439đ/m²XD
</t>
  </si>
  <si>
    <t>- Hàng rào vách tôn cao 2,5 m, trụ sắt, dài 3,5 md</t>
  </si>
  <si>
    <t xml:space="preserve">Áp dụng 12.1 Mục C, theo Quyết định số 08/2026/QĐ-UBND ngày 22/01/2026. Đơn giá 385.977đ/m dài. Điều chỉnh đơn giá tăng 15% do vách tole và trụ sắt theo quy định tại điểm 12, Phụ lục tại  Văn bản số 2093/SXD-KTVLXD ngày 05/03/2026 của Sở Xây dựng. Đơn giá: 385.977 * (1+0,15) = 443.874 đ/m dài. </t>
  </si>
  <si>
    <t>- Bể chứa nước xây gạch, khối tích: 3 × 2,2 × 2 = 13,2 m³</t>
  </si>
  <si>
    <t xml:space="preserve">Áp dụng STT 37 Mục C, theo Quyết định số 08/2026/QĐ-UBND ngày 22/01/2026. Đơn giá 3.084.438đ/m³
</t>
  </si>
  <si>
    <t>- Giếng khoan Ø49, sâu 16,5 m</t>
  </si>
  <si>
    <t xml:space="preserve">Áp dụng STT 27 Mục C, theo Quyết định số 08/2026/QĐ-UBND ngày 22/01/2026. Đơn giá 577.320đ/m sâu.
</t>
  </si>
  <si>
    <t>- Cột trụ xây gạch, kèo gỗ, mái lợp tôn, không trần, tường xây gạch, nền xi măng, cửa gỗ. Diện tích: 1,25 m × 3,4 m = 4,25 m²</t>
  </si>
  <si>
    <t xml:space="preserve">Áp dụng 19 Mục C, theo Quyết định số 08/2026/QĐ-UBND ngày 22/01/2026. Đơn giá 3.003.570đ/m²XD. Điều chỉnh đơn giá tăng 15% do cột trụ xây gạch và nền xi măng theo quy định tại điểm 12, Phụ lục tại  Văn bản số 2093/SXD-KTVLXD ngày 05/03/2026 của Sở Xây dựng. Đơn giá: 3.003.570 * (1+0,15) = 3.454.106 đ/m²XD. 
</t>
  </si>
  <si>
    <r>
      <t xml:space="preserve">- Mái che cột kèo gỗ, mái lợp tôn, nền xi măng, không vách. Diện tích: </t>
    </r>
    <r>
      <rPr>
        <sz val="13"/>
        <color theme="1"/>
        <rFont val="Times New Roman"/>
        <family val="1"/>
      </rPr>
      <t>5,5 m × 2,8 m = 15,4 m²</t>
    </r>
  </si>
  <si>
    <r>
      <t xml:space="preserve">- Cột trụ xây gạch, tường xây gạch lửng cao </t>
    </r>
    <r>
      <rPr>
        <sz val="13"/>
        <color theme="1"/>
        <rFont val="Times New Roman"/>
        <family val="1"/>
      </rPr>
      <t>1,4 m, cột kèo gỗ, mái tôn, không trần, nền láng xi măng. Diện tích: 5 m × 3,4 m = 17 m²</t>
    </r>
  </si>
  <si>
    <t xml:space="preserve">Áp dụng 18 Mục C, theo Quyết định số 08/2026/QĐ-UBND ngày 22/01/2026. Đơn giá 2.309.288đ/m²XD. Điều chỉnh đơn giá tăng 8,5% do cột trụ xây gạch; Điều chỉnh đơn giá giảm 8,5% do không trần theo quy định tại điểm 12, Phụ lục tại  Văn bản số 2093/SXD-KTVLXD ngày 05/03/2026 của Sở Xây dựng. Đơn giá: 2.309.288 đ/m²XD. 
</t>
  </si>
  <si>
    <t xml:space="preserve">* Thửa 9/11. </t>
  </si>
  <si>
    <t>2. Cây trồng:</t>
  </si>
  <si>
    <r>
      <t>- Đơn giá bồi thường, hỗ trợ thiệt hại đối với cây trồng, vật nuôi khi Nhà nước thu hồi đất trên địa bàn tỉnh Khánh Hoà áp dụng theo Quyết định số</t>
    </r>
    <r>
      <rPr>
        <b/>
        <i/>
        <sz val="13"/>
        <color theme="1"/>
        <rFont val="Times New Roman"/>
        <family val="1"/>
      </rPr>
      <t xml:space="preserve"> </t>
    </r>
    <r>
      <rPr>
        <i/>
        <sz val="13"/>
        <color theme="1"/>
        <rFont val="Times New Roman"/>
        <family val="1"/>
      </rPr>
      <t>35/2026/QĐ-UBND ngày 4/5/2026 của UBND tỉnh Khánh Hòa.
- Thông báo số 4004/TB-UBND ngày 8/7/2026 của UBND phường Nam Nha Trang</t>
    </r>
  </si>
  <si>
    <t>* Thửa 01 tờ 11</t>
  </si>
  <si>
    <t>- Bạch đàn 11 năm</t>
  </si>
  <si>
    <t>(Áp dụng tương đương giá bạch đàn 3 năm)</t>
  </si>
  <si>
    <r>
      <t xml:space="preserve">- </t>
    </r>
    <r>
      <rPr>
        <sz val="13"/>
        <rFont val="Times New Roman"/>
        <family val="1"/>
      </rPr>
      <t>Xoài ươm từ hạt 3 năm</t>
    </r>
  </si>
  <si>
    <r>
      <t xml:space="preserve">- </t>
    </r>
    <r>
      <rPr>
        <sz val="13"/>
        <rFont val="Times New Roman"/>
        <family val="1"/>
      </rPr>
      <t>Bồ đề loại A</t>
    </r>
  </si>
  <si>
    <t>(Áp dụng tương đương giá cây Chùm ruột loại A)</t>
  </si>
  <si>
    <t>- Dừa xiêm loại A</t>
  </si>
  <si>
    <t>- Xoài ươm từ hạt, 3 năm</t>
  </si>
  <si>
    <t>- Táo, 3 năm</t>
  </si>
  <si>
    <t>- Ổi, 3 năm</t>
  </si>
  <si>
    <t>- Bồ đê loại A</t>
  </si>
  <si>
    <t>(Áp dụng tương đương giá cây Bồ Quân loại A)</t>
  </si>
  <si>
    <t>* Thửa 02/11</t>
  </si>
  <si>
    <t>- Dừa xiêm loại B</t>
  </si>
  <si>
    <t>- Trôm lấy mũ, 4 năm</t>
  </si>
  <si>
    <t>- Sim loại C</t>
  </si>
  <si>
    <t>(Áp dụng tương đương giá Sơ ri loại C)</t>
  </si>
  <si>
    <t>- Bạch đàn năm 11</t>
  </si>
  <si>
    <t>(Áp dụng tương đương 3 năm)</t>
  </si>
  <si>
    <t>- Bạch đàn năm 7</t>
  </si>
  <si>
    <t>(Áp tương đương giá cây Ô ma loại A)</t>
  </si>
  <si>
    <t>- Bàng loại B</t>
  </si>
  <si>
    <t>Áp dụng tương đương giá cây Bồ Quân loại B</t>
  </si>
  <si>
    <t>- Bông giấy loại A</t>
  </si>
  <si>
    <t>Áp dụng tương đương giá cây tre giống nhà loại A</t>
  </si>
  <si>
    <t>Áp dụng tương đương bạch đàn năm thứ 3</t>
  </si>
  <si>
    <t>- Trứng cá loại B</t>
  </si>
  <si>
    <t>Áp dụng tương đương giá cây Ô ma loại B</t>
  </si>
  <si>
    <t>- Thửa 03/11</t>
  </si>
  <si>
    <t>- Xoài ghép loại A</t>
  </si>
  <si>
    <t>- Xoài ươm từ hạt năm 2</t>
  </si>
  <si>
    <t>- Bạch đàn năm 10</t>
  </si>
  <si>
    <t>(Áp dụng tương đương bạch đàn năm thứ 3 )</t>
  </si>
  <si>
    <t>- Bạch đàn năm 5</t>
  </si>
  <si>
    <t>Áp dụng tương đương giá cây Ô ma loại A</t>
  </si>
  <si>
    <t>- Mãng cầu năm 4 (mãng cầu ta)</t>
  </si>
  <si>
    <t>- Mãng cầu ta năm 2</t>
  </si>
  <si>
    <t>- Lục bát năm 1</t>
  </si>
  <si>
    <t>Áp dụng tương đương giá cây mãng cầu loại 1 năm</t>
  </si>
  <si>
    <t>Lục bát năm 3</t>
  </si>
  <si>
    <t>Áp dụng tương đương giá cây mãng cầu loại 3 năm</t>
  </si>
  <si>
    <t>* Thửa 5/11.</t>
  </si>
  <si>
    <r>
      <t xml:space="preserve">Cau cảnh địa phương loại A
</t>
    </r>
    <r>
      <rPr>
        <i/>
        <sz val="13"/>
        <color theme="1"/>
        <rFont val="Times New Roman"/>
        <family val="1"/>
      </rPr>
      <t>(Áp tương đương giá Cau loại A)</t>
    </r>
  </si>
  <si>
    <t>Cau cảnh địa phương loại C</t>
  </si>
  <si>
    <t>(Áp tương đương giá Cau loại C)</t>
  </si>
  <si>
    <t>Lộc Vừng loại C</t>
  </si>
  <si>
    <t>Me loại B</t>
  </si>
  <si>
    <t>Bông trang loại A</t>
  </si>
  <si>
    <t>(Áp tương đương giá Chuối loại A)</t>
  </si>
  <si>
    <t>Xương rồng cảnh loại A (1 cây = 1bụi)</t>
  </si>
  <si>
    <t>bụi</t>
  </si>
  <si>
    <t>(Áp tương đương giá Thanh long loại A)</t>
  </si>
  <si>
    <t>Dừa xiêm 2 năm</t>
  </si>
  <si>
    <t>Dừa xiêm loại C</t>
  </si>
  <si>
    <t>Bông giấy loại A</t>
  </si>
  <si>
    <t>(Áp tương đương giá cây tre giống nhà loại A)</t>
  </si>
  <si>
    <t>Bàng loại C</t>
  </si>
  <si>
    <t>Áp dụng tương đương cây Bồ quân loại C</t>
  </si>
  <si>
    <t>Xoài ươm từ hạt 4 năm</t>
  </si>
  <si>
    <t>Bạch đàn 15 năm</t>
  </si>
  <si>
    <t>Áp dụng tương bạch đàn năm thứ 3</t>
  </si>
  <si>
    <t>Bạch đàn 11 năm</t>
  </si>
  <si>
    <t>Bần 6 năm</t>
  </si>
  <si>
    <t>Mãng cầu ta loại C</t>
  </si>
  <si>
    <t>Trứng cá loại A</t>
  </si>
  <si>
    <t>Áp dụng tương giá cây Ôma loại A</t>
  </si>
  <si>
    <t>Tre (giống tre nhà) loại A</t>
  </si>
  <si>
    <t>* Thửa 9/11</t>
  </si>
  <si>
    <t>Dừa xiêm loại A</t>
  </si>
  <si>
    <t>Xoài ươm từ hạt 7 năm</t>
  </si>
  <si>
    <t>Xoài ươm từ hạt 5 năm</t>
  </si>
  <si>
    <t>Bồ đề loại C</t>
  </si>
  <si>
    <t>Áp dụng tương đương giá Bồ quân loại C</t>
  </si>
  <si>
    <t>Me 3 năm</t>
  </si>
  <si>
    <t>Ổi loại B</t>
  </si>
  <si>
    <t>Bạch đàn 6 năm</t>
  </si>
  <si>
    <t>Chuối loại A</t>
  </si>
  <si>
    <t>Chuối loại B</t>
  </si>
  <si>
    <t>Chuối loại C</t>
  </si>
  <si>
    <r>
      <rPr>
        <b/>
        <sz val="13"/>
        <rFont val="Times New Roman"/>
        <family val="1"/>
      </rPr>
      <t>1- Hỗ trợ ổn định đời sống:</t>
    </r>
  </si>
  <si>
    <t>* Căn cứ Điều 108 Luật đất đai năm 2024.
*Áp dụng điểm a và điểm c khoản 1 Điều 19 Nghị định số 88/2024/NĐ-CP ngày 15/7/2024 của Chính phủ.
* Giá gạo được áp dụng theo Văn bản số 9017/STC-QLG&amp;CS ngày 03/07/2026 của Sở Tài chính tỉnh Khánh Hòa V/v giá gạo để tính hỗ trợ ổn định đời sống và ổn định sản xuất. Đơn giá: 13.438 đồng/kg</t>
  </si>
  <si>
    <r>
      <t xml:space="preserve">Thu hồi </t>
    </r>
    <r>
      <rPr>
        <b/>
        <sz val="13"/>
        <rFont val="Times New Roman"/>
        <family val="1"/>
      </rPr>
      <t xml:space="preserve">trên 70% </t>
    </r>
    <r>
      <rPr>
        <sz val="13"/>
        <rFont val="Times New Roman"/>
        <family val="1"/>
      </rPr>
      <t xml:space="preserve">diện tích đất nông nghiệp đang sử dụng và phải di chuyển chỗ ở là </t>
    </r>
    <r>
      <rPr>
        <b/>
        <sz val="13"/>
        <rFont val="Times New Roman"/>
        <family val="1"/>
      </rPr>
      <t>5 khẩu,</t>
    </r>
    <r>
      <rPr>
        <sz val="13"/>
        <rFont val="Times New Roman"/>
        <family val="1"/>
      </rPr>
      <t xml:space="preserve"> trong đó có 04 khẩu đã được hỗ trợ tại thửa 13, 15, 19 tờ 11 nên chỉ hỗ trợ 1 khẩu. 
(30kg/tháng x 24 tháng x 01 nhân khẩu) = 720 kg </t>
    </r>
  </si>
  <si>
    <t xml:space="preserve">* Áp dụng khoản 1 Điều 13 Quyết định số 17/2024/QĐ-UBND ngày 29/8/2024 của UBND tỉnh Khánh Hòa và Điều 9 Quyết định số 32/2026/QĐ-UBND ngày 29/4/2026 của UBND tỉnh Khánh Hòa về việc quy định một số nội dung, biện pháp hỗ trợ khác khi Nhà nước thu hồi đất trên địa bàn tỉnh Khánh Hòa. </t>
  </si>
  <si>
    <t xml:space="preserve"> * Căn cứ Văn bản số 1718/UBND-VP ngày 21/10/2025 của UBND phường Nam Nha Trang về việc áp dụng chính sách hỗ trợ chuyển đổi nghề. 
* Giá đất được áp dụng tại Nghị quyết số 15/2025/NQ-HĐND ngày 18/01/2026 của HĐND tỉnh Khánh Hòa
- Hỗ trợ chuyển đổi nghề nghiệp và tạo việc làm tính theo diện tích giải tỏa. Mức hỗ trợ bằng (03) lần giá đất nông nghiệp trong Bảng giá đất hiện hành của tỉnh Khánh Hòa, đơn giá: 108.000đ/m² x 3  lần = 324.000đ/m².</t>
  </si>
  <si>
    <t xml:space="preserve">Diện tích tính hỗ trợ: 4.765,7 m² </t>
  </si>
  <si>
    <t>3 - Hỗ trợ tạm cư:</t>
  </si>
  <si>
    <t>* Áp dụng Khoản 2 Điều 108 của Luật đất đai năm 2024; Khoản 4 Điều 3 Nghị định 254/2025/QH15 ngày 11/12/2025 của Quốc Hội và Điều 4 Quyết định số 32/2026/QĐ-UBND ngày 29/4/2026 của UBND tỉnh Khánh Hoà</t>
  </si>
  <si>
    <t>- Hỗ trợ tiền thuê nhà: Hộ có 04 thành viên trở xuống mức hỗ trợ 7.000.000đ/tháng</t>
  </si>
  <si>
    <t>tháng</t>
  </si>
  <si>
    <t xml:space="preserve">+ Hỗ trợ tiền thuê nhà cho 07 thành viên tăng thêm mức hỗ trợ: (10% x 7.000.000đ/tháng) x 07 người = 4.900.000 đồng/07 người/tháng. </t>
  </si>
  <si>
    <t>IV - Hỗ trợ chi phí di chuyển tài sản:</t>
  </si>
  <si>
    <t>* Áp dụng Điều 8 Quyết định số 32/2026/QĐ-UBND ngày 29/4/2026 của UBND tỉnh Khánh Hoà</t>
  </si>
  <si>
    <t>Mức hỗ trợ: Trường hợp di chuyển đến chỗ ở mới trong cùng địa bàn cấp xã nơi có đất thu hồi, mức bồi thường 10.000.000 đồng/hộ;</t>
  </si>
  <si>
    <t>hộ</t>
  </si>
  <si>
    <t>Tổng số tiền bồi thường, hỗ trợ (I+II+III+IV):</t>
  </si>
  <si>
    <t xml:space="preserve"> - Căn cứ theo điểm c Khoản 1 Điều 14 quy định tại Quyết định số 17/2024/QĐ-UBND ngày 29/8/2024 của UBND tỉnh Khánh Hòa: </t>
  </si>
  <si>
    <t xml:space="preserve">Đối với người có đất thu hồi bàn giao mặt bằng trước thời hạn theo quy định được giải quyết bằng năm triệu đồng. </t>
  </si>
  <si>
    <t xml:space="preserve"> - Căn cứ theo Khoản 1 Điều 15 quy định tại Quyết định số 32/2026/QĐ-UBND ngày 29/4/2026 của UBND tỉnh Khánh Hòa: </t>
  </si>
  <si>
    <t>Đối với người có đất thu hồi bàn giao mặt bằng trước thời hạn theo quy định được khen thưởng thêm ba triệu đồng</t>
  </si>
  <si>
    <t xml:space="preserve">- Căn cứ Khoản 4 Điều 111 Luật Đất đai năm 2024
- Căn cứ Điều 11 Nghị định số 88/2024/NĐ-CP ngày 15/7/2024 của Chính phủ
- Căn cứ Khoản 6 Điều 2 Nghị định số 226/2025/NĐ-CP ngày 15/8/2025 của Chính Phủ.
- Căn cứ Khoản b, Điều 14 Quyết định số 17/2024/QĐ-UBND ngày 29/8/2024 của UBND tỉnh Khánh Hòa. 
- Căn cứ Quyết định số 2694/QĐ-UBND ngày 26/6/2026 của UBND phường Nam Nha Trang về việc phê duyệt phương án bố trí tái định cư dự án Khu đô thị hỗn hợp thành phố Nha Trang, tại phường Nam Nha Trang, tỉnh Khánh Hòa. </t>
  </si>
  <si>
    <t>- Hộ gia đình  đủ điều kiện giải quyết tái định cư do bị thu hồi đất ở, phải di chuyển chỗ ở và không còn nhà ở đất ở nào khác trên địa bàn phường. 
- Đồng thời, Hộ gia đình được xem xét hỗ trợ để giao thêm 01 lô đất ở có thu tiền sử dụng đất do có 11 nhân khẩu ăn ở sinh hoạt tại vị trí thửa đất bị giải tỏa</t>
  </si>
  <si>
    <r>
      <t xml:space="preserve">- </t>
    </r>
    <r>
      <rPr>
        <b/>
        <i/>
        <sz val="13"/>
        <rFont val="Times New Roman"/>
        <family val="1"/>
      </rPr>
      <t>Tình trạng nhà ở, đất ở trên địa bàn phường Nam Nha Trang:</t>
    </r>
    <r>
      <rPr>
        <i/>
        <sz val="13"/>
        <rFont val="Times New Roman"/>
        <family val="1"/>
      </rPr>
      <t xml:space="preserve"> bà Tô Thị Pho không còn nhà ở, đất ở sở hữu riêng trên địa bàn phường Nam Nha Trang. Tuy nhiên, bà Tô Thị Pho đang đồng sử dụng với ông Tô Bá Hùng, bà Tô Thị Phi, bà Tô Thị Lý, ông Tô Bá Cường, ông Tô Bá Quyết thửa đất số 52 tờ bản đồ số 30 với diện tích 59,2m2 tại địa chỉ số 151C Đồng Nai, phường Phước Hải, Nha Trang (nay là phường Nam Nha Trang) được UBND thành phố Nha Trang cấp Giấy chứng nhận quyền sử dụng đất số CH09170 ngày 17/10/2023 (thửa đất có nguồn gốc nhận thừa kế theo văn bản thỏa thuận phân chia di sản thừa kế sau khi ông Tô Bá Hoàn và bà Phạm Thị Vòng chết).</t>
    </r>
  </si>
  <si>
    <r>
      <t xml:space="preserve">- Giá đất tái định cư:
</t>
    </r>
    <r>
      <rPr>
        <i/>
        <sz val="13"/>
        <rFont val="Times New Roman"/>
        <family val="1"/>
      </rPr>
      <t xml:space="preserve">* Căn cứ theo Điều 159 Luật Đất đai 2024
* Căn cứ theo Nghị Quyết số 15/2025/NQ-HĐND ngày 18/12/2025 của Hội đồng nhân dân tỉnh Khánh Hòa về việc quy định về bảng giá đất lần đầu áp dụng từ ngày 01 tháng 01 năm 2026 trên địa bàn tỉnh Khánh Hòa. </t>
    </r>
  </si>
  <si>
    <t>4</t>
  </si>
  <si>
    <r>
      <t xml:space="preserve">Hộ ông Nguyễn Bàng (chết) và bà Tô Thị Pho 
- CCCD số </t>
    </r>
    <r>
      <rPr>
        <sz val="13"/>
        <rFont val="Times New Roman"/>
        <family val="1"/>
      </rPr>
      <t>056163001463 ngày 28/12/2022 do Cục CSQLHC về TTXH cấp cho bà Tô Thị Pho;</t>
    </r>
    <r>
      <rPr>
        <b/>
        <sz val="13"/>
        <rFont val="Times New Roman"/>
        <family val="1"/>
      </rPr>
      <t xml:space="preserve">
- Địa chỉ thường trú: </t>
    </r>
    <r>
      <rPr>
        <sz val="13"/>
        <rFont val="Times New Roman"/>
        <family val="1"/>
      </rPr>
      <t>Tổ dân phố Vĩnh Xuân, phường Nam Nha Trang, tỉnh Khánh Hòa (thuộc vị trí giải toả).</t>
    </r>
    <r>
      <rPr>
        <b/>
        <sz val="13"/>
        <rFont val="Times New Roman"/>
        <family val="1"/>
      </rPr>
      <t xml:space="preserve">
- Số điện thoại: 
</t>
    </r>
  </si>
  <si>
    <t>Đơn giá đất cụ thể khi Nhà nước thu hồi đất thực hiện dự án Khu đô thị hỗn hợp thành phố Nha Trang: 661.000 đ/m².</t>
  </si>
  <si>
    <t>Khen thưởng</t>
  </si>
  <si>
    <t xml:space="preserve">Hộ ông Nguyễn Bàng (chết) và bà Tô Thị Pho </t>
  </si>
  <si>
    <t>Đủ điều kiện bố trí TĐC</t>
  </si>
  <si>
    <t>35 + 171</t>
  </si>
  <si>
    <t>Hộ ông Phan Thanh Hùng và bà Đinh Thị Thu</t>
  </si>
  <si>
    <t>Hộ ông Đặng Văn Nhiều và bà Trương Thị Tình tự kê khai</t>
  </si>
  <si>
    <t>Hộ ông Đặng Văn Sớm và bà Đinh Thị Gái</t>
  </si>
  <si>
    <t xml:space="preserve"> - Tổng diện tích (Thửa 322/tờ 15)</t>
  </si>
  <si>
    <t xml:space="preserve">- Giấy xác nhận về thửa đất bị thu hồi để phục vụ cho công tác bồi thường,  hỗ trợ,  tái định cư khi Nhà nước thu hồi đất số 14056/GXN-KTHTĐT ngày 26/10/2026 của Phòng Kinh tế Hạ tầng Đô thị phường Nam Nha Trang;
</t>
  </si>
  <si>
    <t>4/ Tổng kinh phí bồi thường, hỗ trợ:</t>
  </si>
  <si>
    <t>6/ Tổng kinh phí bồi thường, hỗ trợ và khen thưởng:</t>
  </si>
  <si>
    <t>5/ Kinh phí khen thưởng:</t>
  </si>
  <si>
    <t xml:space="preserve">Áp dụng STT 02 Mục A, theo Quyết định số 08/2026/QĐ-UBND ngày 22/01/2026. Đơn giá 3.958.967đ/m2XD. Điều chỉnh đơn giá với hệ số 1,12 do tường sơn nước; điều chỉnh giảm 8,5% do không trần và cộng vào đơn giá 481.600đ/m² do nền lát gạch men theo quy định tại điểm 1, điểm 3 và điểm 12 Phụ lục tại Văn bản số 2093/SXD-KTVLXD ngày 05/03/2026 của Sở Xây dựng. Đơn giá: (3.958.967 * (1,12-0,085)) + 481.600 =  4.579.131đ/m²XD. 
</t>
  </si>
  <si>
    <t xml:space="preserve"> * Cơ sở pháp lý áp dụng:
- Điều 95, Điều 96, khoản 1 Điều 176 của Luật đất đai năm 2024; 
- Điều 3 Nghị Quyết số 254/2025/QH15 của Quốc Hội về việc quy định một số cơ chế, chính sách tháo gỡ khó khăn, vướng mắc trong tổ chức thi hành Luật Đất đai.
- Điều 05, Điều 06, Điều 12 Nghị định 88/2024/NĐ-CP ngày 15/7/ 2024 của Chính phủ quy định về bồi thường, hỗ trợ và tái định cư khi Nhà nước thu hồi đất. </t>
  </si>
  <si>
    <t xml:space="preserve"> * Cơ sở pháp lý áp dụng:
- Điều 95, Điều 96, khoản 1 Điều 176 của Luật đất đai năm 2024; 
- Điều 3 Nghị Quyết số 254/2025/QH15 của Quốc Hội về việc quy định một số cơ chế, chính sách tháo gỡ khó khăn, vướng mắc trong tổ chức thi hành Luật Đất đai.
- Điều 05, Điều 06, Điều 12 Nghị định 88/2024/NĐ-CP ngày 15/7/ 2024 của Chính phủ quy định về bồi thường, hỗ trợ và tái định cư khi Nhà nước thu hồi đất. 
</t>
  </si>
  <si>
    <t>III/ Chính sách hỗ trợ (1 + 2):</t>
  </si>
  <si>
    <t>- Dừa xiêm 3 năm</t>
  </si>
  <si>
    <t xml:space="preserve"> Đơn giá đất thuộc địa bàn phường Nam Nha Trang: 758.000 đ/m².</t>
  </si>
  <si>
    <t xml:space="preserve"> * Căn cứ Điều 105 Luật đất đai năm 2024, Điều 14 Nghị định số 88/2024/NĐ-CP ngày 15/7/2024 của Chính phủ, Điều 5 Quyết định số 17/2024/QĐ-UBND ngày 29/8/2024 và Điều 10 Quyết định số 32/2026/QĐ-UBND ngày 29/4/2026 của UBND tỉnh Khánh Hòa. 
 - Căn cứ Điều 10, Quyết định số 35/2026/QĐ-UBND ngày 29/4/2026 của UBND tỉnh Khánh Hòa. </t>
  </si>
  <si>
    <t>- Hàng rào trụ BTCT kẽm gai dài 70md, cao 1,5m (3 dây)</t>
  </si>
  <si>
    <t xml:space="preserve">Áp dụng STT 12 Mục C, theo Quyết định số 08/2026/QĐ-UBND ngày 22/01/2026. Đơn giá 366.132đ/m2XD. Điều chỉnh đơn giá tăng 8,5% do trụ BTCT theo quy định tại điểm 12, Phụ lục của Văn bản số 2093/SXD-KTVLXD ngày 5/3/2026 của Sở Xây dựng.  Đơn giá: 366.132 x (1 + 0,085) = 397.253 đ/m dài. </t>
  </si>
  <si>
    <r>
      <t>- Đơn giá bồi thường, hỗ trợ thiệt hại đối với cây trồng, vật nuôi khi Nhà nước thu hồi đất trên địa bàn tỉnh Khánh Hoà áp dụng theo Quyết định số</t>
    </r>
    <r>
      <rPr>
        <b/>
        <i/>
        <sz val="13"/>
        <rFont val="Times New Roman"/>
        <family val="1"/>
      </rPr>
      <t xml:space="preserve"> </t>
    </r>
    <r>
      <rPr>
        <i/>
        <sz val="13"/>
        <rFont val="Times New Roman"/>
        <family val="1"/>
      </rPr>
      <t>35/2026/QĐ-UBND ngày 04/5/2026 của UBND tỉnh Khánh Hòa.
- Thông báo số 4004/TB-UBND ngày 8/7/2026 của UBND phường Nam Nha Trang</t>
    </r>
  </si>
  <si>
    <t>- Chuối A</t>
  </si>
  <si>
    <t>(Áp dụng tương đương giá cây Ôma loại A)</t>
  </si>
  <si>
    <t>- Bạch đàn (6 năm)</t>
  </si>
  <si>
    <t>(Áp dụng tương đương bạch đàn 3 năm)</t>
  </si>
  <si>
    <t>- Bạch đàn (3 năm)</t>
  </si>
  <si>
    <t>* Căn cứ Điều 108 Luật đất đai năm 2024.
*Áp dụng khoản 1 Điều 19 Nghị định số 88/2024/NĐ-CP ngày 15/7/2024 của Chính phủ.
* Giá gạo được áp dụng theo Văn bản số 9017/STC-QLG&amp;CS ngày 03/07/2026 của Sở Tài chính tỉnh Khánh Hòa V/v giá gạo để tính hỗ trợ ổn định đời sống và ổn định sản xuất. Đơn giá: 13.438 đồng/kg</t>
  </si>
  <si>
    <r>
      <t xml:space="preserve">Hộ ông Nguyễn Văn Bảy và bà Đặng Thị Sáng
- CCCD số: </t>
    </r>
    <r>
      <rPr>
        <sz val="13"/>
        <rFont val="Times New Roman"/>
        <family val="1"/>
      </rPr>
      <t>056066002966 ngày 04/8/2022 do Cục CSQLHC về TTXH cấp cho ông Nguyễn Văn Bảy</t>
    </r>
    <r>
      <rPr>
        <b/>
        <sz val="13"/>
        <rFont val="Times New Roman"/>
        <family val="1"/>
      </rPr>
      <t xml:space="preserve">
- CCCD số: </t>
    </r>
    <r>
      <rPr>
        <sz val="13"/>
        <rFont val="Times New Roman"/>
        <family val="1"/>
      </rPr>
      <t>056168010653 ngày 12/12/2022 do Cục CSQLHC về TTXH cấp cho bà Đặng Thị Sáng.</t>
    </r>
    <r>
      <rPr>
        <b/>
        <sz val="13"/>
        <rFont val="Times New Roman"/>
        <family val="1"/>
      </rPr>
      <t xml:space="preserve">
- Địa chỉ thường trú: 
</t>
    </r>
    <r>
      <rPr>
        <sz val="13"/>
        <rFont val="Times New Roman"/>
        <family val="1"/>
      </rPr>
      <t>31C Vĩnh Xuân, Vĩnh Thái, Nha Trang (nay là phường Nam Nha Trang) (thuộc vị trí giải toả)</t>
    </r>
    <r>
      <rPr>
        <b/>
        <sz val="13"/>
        <rFont val="Times New Roman"/>
        <family val="1"/>
      </rPr>
      <t xml:space="preserve">
- Địa chỉ giải toả: 
</t>
    </r>
    <r>
      <rPr>
        <sz val="13"/>
        <rFont val="Times New Roman"/>
        <family val="1"/>
      </rPr>
      <t xml:space="preserve">Tổ dân phố Vĩnh Xuân, phường Nam Nha Trang
</t>
    </r>
    <r>
      <rPr>
        <b/>
        <sz val="13"/>
        <rFont val="Times New Roman"/>
        <family val="1"/>
      </rPr>
      <t xml:space="preserve">- Thời gian thường trú hoặc tạm trú tại vị trí giải tỏa: </t>
    </r>
    <r>
      <rPr>
        <sz val="13"/>
        <rFont val="Times New Roman"/>
        <family val="1"/>
      </rPr>
      <t xml:space="preserve">Năm 2013. </t>
    </r>
    <r>
      <rPr>
        <b/>
        <sz val="13"/>
        <rFont val="Times New Roman"/>
        <family val="1"/>
      </rPr>
      <t xml:space="preserve">
- Số điện thoại: </t>
    </r>
    <r>
      <rPr>
        <sz val="13"/>
        <rFont val="Times New Roman"/>
        <family val="1"/>
      </rPr>
      <t>00984.363.119</t>
    </r>
    <r>
      <rPr>
        <b/>
        <sz val="13"/>
        <rFont val="Times New Roman"/>
        <family val="1"/>
      </rPr>
      <t xml:space="preserve">
</t>
    </r>
  </si>
  <si>
    <r>
      <t xml:space="preserve">I- Giấy xác nhận về thửa đất bị thu hồi để phục vụ cho công tác bồi thường,  hỗ trợ,  tái định cư khi Nhà nước thu hồi đất số </t>
    </r>
    <r>
      <rPr>
        <b/>
        <sz val="13"/>
        <color rgb="FFFF0000"/>
        <rFont val="Times New Roman"/>
        <family val="1"/>
      </rPr>
      <t>9131/GXN–KTHTĐT ngày 20/7/2026</t>
    </r>
    <r>
      <rPr>
        <b/>
        <sz val="13"/>
        <color theme="1"/>
        <rFont val="Times New Roman"/>
        <family val="1"/>
      </rPr>
      <t xml:space="preserve"> của Phòng Kinh tế, hạ tầng và Đô thị phường Nam Nha Trang xác nhận: </t>
    </r>
  </si>
  <si>
    <t xml:space="preserve"> - Tổng diện tích (Thửa 74/45)</t>
  </si>
  <si>
    <t>2- Bồi thường chi phí đầu tư vào đất:</t>
  </si>
  <si>
    <t>- Ao đìa đào đất sâu trung bình 1,5 m</t>
  </si>
  <si>
    <t xml:space="preserve"> * Căn cứ Điều 102, 105 Luật đất đai năm 2024, Điều 14 Nghị định số 88/2024/NĐ-CP ngày 15/7/2024 của Chính phủ, Điều 5 Quyết định số 17/2024/QĐ-UBND ngày 29/8/2024 và Điều 10 Quyết định số 32/2026/QĐ-UBND ngày 29/4/2026 của UBND tỉnh Khánh Hòa. 
- Căn cứ Điều 10, Quyết định 32/20206/QĐ-UBND ngày 29/4/2026 của UBND tỉnh Khánh Hòa. </t>
  </si>
  <si>
    <t>- Nhà 01 tầng, móng xây đá chẻ, tường xây gạch 100-200, tường sơn nước, mái lợp tole, trần nhựa, nền lát gạch men, cửa nhôm kính, hệ vệ sinh hoàn chỉnh (có ốp men cao 1,6m). Diện tích: (2,4m x 5,7m) + (6,1m x 9,4m) = 71,2m²</t>
  </si>
  <si>
    <t xml:space="preserve">- Áp dụng STT2, Mục A, theo Quyết định số 08/2026/QĐ-UBND ngày 22/01/2026 đơn giá:3.958.967đ/m²XD. Điều chỉnh hệ số tăng 1,12 do tường sơn nước và tăng 15% do có cửa nhôm kinh + hệ vệ sinh hoàn chỉnh; Cộng vào đơn giá 481.600đ/m² do nền lát gạch men theo quy định tại điểm 2, 3 và 12 quy định tại Phụ lục của Văn bản số 2093/SXD-KTVLXD ngày 05/03/2026 của Sở Xây dựng. Đơn giá: (3.958.967 x (1,12 + 0,15)) + 481.600đ/m² = 5.509.4880đ/m² </t>
  </si>
  <si>
    <t xml:space="preserve"> - Mái che cột kèo sắt, mái lợp tôn, nền xi măng. Diện tích: (0,5m x 5,8m x 5m) + (7,2m x 18m) = 144,1m²</t>
  </si>
  <si>
    <t xml:space="preserve"> Áp dụng STT  4, Mục C, theo Quyết định số 08/2026/QĐ-UBND ngày 22/01/2026 đơn giá:1.259.097đ/m²XD. </t>
  </si>
  <si>
    <t xml:space="preserve">- Cổng trụ gạch (500 x 500), cánh thép hình, cao 2,4m, dài 5,2m </t>
  </si>
  <si>
    <t xml:space="preserve"> Áp dụng STT  13, Mục C, theo Quyết định số 08/2026/QĐ-UBND ngày 22/01/2026 đơn giá:3.855.960đ/m²XD. </t>
  </si>
  <si>
    <t xml:space="preserve">- Tường rào xây gạch, móng xây đá chẻ 2 lớp, cao 1,8m, 
dài 16,5m + 9,5m = 26m </t>
  </si>
  <si>
    <t xml:space="preserve"> Áp dụng STT 9, Mục C, theo Quyết định số 08/2026/QĐ-UBND ngày 22/01/2026 đơn giá:1.340.561 đ/m dài. </t>
  </si>
  <si>
    <t xml:space="preserve"> - Hàng rào lưới B40, trụ xây gạch cao 0,8m, dài 16,5m. </t>
  </si>
  <si>
    <t xml:space="preserve"> Áp dụng STT 12.2, Mục C, theo Quyết định số 08/2026/QĐ-UBND ngày 22/01/2026. Đơn giá: 627.276đ/md. Điều chỉnh giảm 15% do trụ gạch và không có móng bê tông theo quy định tại điểm 12, Phụ lục tại Văn bản số 2093/SXD-KTVLXD ngày 05/03/2026 của Sở Xây dựng. Đơn giá: 627.276 - (100% - 15%) = 533.185đ/md </t>
  </si>
  <si>
    <t xml:space="preserve">- Sân láng bê tông xi măng (có bê tông lót). Diện tích 2,6m x 21m = 54,6m². </t>
  </si>
  <si>
    <t xml:space="preserve"> Áp dụng STT 17, Mục C, theo Quyết định số 08/2026/QĐ-UBND ngày 22/01/2026 đơn giá:230.583đ/m² </t>
  </si>
  <si>
    <t>- Kè xây BTCT, khối tích 0,4m x 0,2m x 21m = 1,68m³</t>
  </si>
  <si>
    <t xml:space="preserve">Áp giá STT 53, Mục C, theo Quyết định số 08/2026/QĐ-UBND ngày 22/01/2026. Đơn giá: 6.647.284đ/m³. </t>
  </si>
  <si>
    <r>
      <t>- Đơn giá bồi thường, hỗ trợ thiệt hại đối với cây trồng, vật nuôi khi Nhà nước thu hồi đất trên địa bàn tỉnh Khánh Hoà áp dụng theo Quyết định số</t>
    </r>
    <r>
      <rPr>
        <b/>
        <i/>
        <sz val="13"/>
        <rFont val="Times New Roman"/>
        <family val="1"/>
      </rPr>
      <t xml:space="preserve"> </t>
    </r>
    <r>
      <rPr>
        <i/>
        <sz val="13"/>
        <rFont val="Times New Roman"/>
        <family val="1"/>
      </rPr>
      <t>35/2026/QĐ-UBND ngày 4/5/2026 của UBND tỉnh Khánh Hòa.</t>
    </r>
  </si>
  <si>
    <t xml:space="preserve">cây </t>
  </si>
  <si>
    <t>- Mãng cầu ta loại A</t>
  </si>
  <si>
    <t>- Mãng cầu ta 2 năm</t>
  </si>
  <si>
    <r>
      <t xml:space="preserve">- Sung loại A </t>
    </r>
    <r>
      <rPr>
        <i/>
        <sz val="13"/>
        <rFont val="Times New Roman"/>
        <family val="1"/>
      </rPr>
      <t>(Áp tương đương cây Bồ quân loại A)</t>
    </r>
  </si>
  <si>
    <r>
      <t xml:space="preserve">- Hoa giấy loại A </t>
    </r>
    <r>
      <rPr>
        <i/>
        <sz val="13"/>
        <rFont val="Times New Roman"/>
        <family val="1"/>
      </rPr>
      <t>(Áp tương đương giá Tre(giống tre nhà) loại A)</t>
    </r>
  </si>
  <si>
    <t>- Mận loại B</t>
  </si>
  <si>
    <r>
      <t xml:space="preserve">- Cỏ bồng (Bầu núi) loại A </t>
    </r>
    <r>
      <rPr>
        <i/>
        <sz val="13"/>
        <rFont val="Times New Roman"/>
        <family val="1"/>
      </rPr>
      <t>(Áp tương đương giá cây Cacao loại A)</t>
    </r>
  </si>
  <si>
    <r>
      <t xml:space="preserve">- Phong lan đất loại A </t>
    </r>
    <r>
      <rPr>
        <i/>
        <sz val="13"/>
        <rFont val="Times New Roman"/>
        <family val="1"/>
      </rPr>
      <t>(Áp tương đương giá cây Trúc loại A)</t>
    </r>
  </si>
  <si>
    <t>- Xả</t>
  </si>
  <si>
    <t xml:space="preserve">- Rau dền </t>
  </si>
  <si>
    <t>3. Vật nuôi:</t>
  </si>
  <si>
    <t xml:space="preserve">- Tôm thẻ chân trắng nuôi bán thâm canh, giai đoạn 1,5 tháng (tính đền thời điểm hiện tại), mật độ nuôi 50.000 con/3.746,6m² = 13 con/m². </t>
  </si>
  <si>
    <t>Vật nuôi tới thời kỳ thu hoạch nên không bồi thường, hỗ trợ theo khoản 9 Điều 3 Quyết định số 32/2024/QĐ-UBND ngày 28/10/2024 của UBND tỉnh Khánh Hòa.</t>
  </si>
  <si>
    <t>* Căn cứ Điều 108 Luật đất đai năm 2024.
*Áp dụng điểm a và điểm c khoản 1 Điều 19 Nghị định số 88/2024/NĐ-CP ngày 15/7/2024 của Chính phủ.
*Giá gạo được áp dụng theo Văn bản số 9017/STC-QLG&amp;CS ngày 03/7/2026 của Sở Tài chính tỉnh Khánh Hòa V/v giá gạo để tính hỗ trợ ổn định đời sống và ổn định sản xuất. Đơn giá: 13.438đ/kg</t>
  </si>
  <si>
    <r>
      <t xml:space="preserve">Thu hồi </t>
    </r>
    <r>
      <rPr>
        <b/>
        <sz val="13"/>
        <rFont val="Times New Roman"/>
        <family val="1"/>
      </rPr>
      <t xml:space="preserve">trên 70% </t>
    </r>
    <r>
      <rPr>
        <sz val="13"/>
        <rFont val="Times New Roman"/>
        <family val="1"/>
      </rPr>
      <t xml:space="preserve">diện tích đất nông nghiệp đang sử dụng và phải di chuyển chỗ ở (2 khẩu): 
(30kg/tháng x 24 tháng x 2 nhân khẩu) = 1.440 kg </t>
    </r>
  </si>
  <si>
    <t xml:space="preserve">Diện tích tính hỗ trợ: 3.217,6 m² </t>
  </si>
  <si>
    <t xml:space="preserve">- Căn cứ Khoản 4 Điều 111 Luật Đất đai năm 2024
- Căn cứ Điều 11 Nghị định số 88/2024/NĐ-CP ngày 15/7/2024 của Chính phủ
- Căn cứ Khoản 6 Điều 2 Nghị định số 226/2025/NĐ-CP ngày 15/8/2025 của Chính Phủ.
- Căn cứ Khoản b, Điều 14 Quyết định số 17/2024/QĐ-UBND ngày 29/8/2024 của UBND tỉnh Khánh Hòa. 
- Căn cứ Khoản 10 Điều 4 Quyết định số 14/2025/QĐ-UBND ngày 07/8/2025 của UBND tỉnh Khánh Hòa. </t>
  </si>
  <si>
    <t xml:space="preserve">- Hộ gia đình  đủ điều kiện giải quyết tái định cư do bị thu hồi đất ở, phải di chuyển chỗ ở và không còn nhà ở đất ở nào khác trên địa bàn phường theo quy định. </t>
  </si>
  <si>
    <r>
      <t xml:space="preserve">- Căn cứ Văn bản số 7611/CNNT ngày 1/7/2026 của Chi nhánh Văn phòng Đăng ký đất đai Nha Trang với nội dung: </t>
    </r>
    <r>
      <rPr>
        <b/>
        <i/>
        <sz val="13"/>
        <rFont val="Times New Roman"/>
        <family val="1"/>
      </rPr>
      <t>"Ông Nguyễn Văn Bảy đã tặng cho"</t>
    </r>
  </si>
  <si>
    <r>
      <t xml:space="preserve">- Giá đất tái định cư:
</t>
    </r>
    <r>
      <rPr>
        <i/>
        <sz val="13"/>
        <color rgb="FFFF0000"/>
        <rFont val="Times New Roman"/>
        <family val="1"/>
      </rPr>
      <t xml:space="preserve">* Căn cứ theo Điều 159 Luật Đất đai 2024
* Căn cứ theo Nghị Quyết số 15/2025/NQ-HĐND ngày 18/12/2025 của Hội đồng nhân dân tỉnh Khánh Hòa về việc quy định về bảng giá đất lần đầu áp dụng từ ngày 01 tháng 01 năm 2026 trên địa bàn tỉnh Khánh Hòa. </t>
    </r>
    <r>
      <rPr>
        <b/>
        <i/>
        <sz val="13"/>
        <color rgb="FFFF0000"/>
        <rFont val="Times New Roman"/>
        <family val="1"/>
      </rPr>
      <t xml:space="preserve">
</t>
    </r>
  </si>
  <si>
    <r>
      <t xml:space="preserve">Thu hồi </t>
    </r>
    <r>
      <rPr>
        <b/>
        <sz val="13"/>
        <rFont val="Times New Roman"/>
        <family val="1"/>
      </rPr>
      <t>từ 30% đến 70%</t>
    </r>
    <r>
      <rPr>
        <sz val="13"/>
        <rFont val="Times New Roman"/>
        <family val="1"/>
      </rPr>
      <t xml:space="preserve"> diện tích đất nông nghiệp đang sử dụng và không phải di chuyển chỗ ở (2 khẩu): 
(30kg/tháng x 6 tháng x 2 nhân khẩu) = 360 kg</t>
    </r>
  </si>
  <si>
    <t>- Bồi thường về Đất:</t>
  </si>
  <si>
    <t>- Quyết định số 3105/QĐ-UBND ngày 31/12/2025 của Chủ tịch UBND phường Nam Nha Trang về việc phê duyệt kết quả thẩm định phương án giá đất cụ thể để tính bồi thường khi Nhà nước thu hồi đất để thực hiện dự án Khu đô thị hỗn hợp thành phố Nha Trang. 
- Căn cứ Công văn số 4323/UBND-VP ngày 21/7/2026 của UBND phường Nam Nha Trang về việc triển khai áp dụng giá đất để tính bồi thường các dự án trên địa bàn phường Nam Nha Trang. 
- Căn cứ Quyết định số 755/QĐ-UBND 09/03/2026 của UBND tỉnh Khánh Hòa 
- Căn cứ Quyết định số 82/2026/QĐ-UBND ngày 09/10/2026</t>
  </si>
  <si>
    <t>Hộ ông Nguyễn Văn Bảy và bà Đặng Thị Sáng</t>
  </si>
  <si>
    <t>- Quyết định số 36/QĐ-UBND ngày 09/7/2025 của Chủ tịch UBND phường Nam Nha Trang về việc phê duyệt giá đất cụ thể để tính bồi thường khi Nhà nước thu hồi đất để thực hiện dự án Khu đô thị hỗn hợp thành phố Nha Trang
- Căn cứ Quyết định số 755/QĐ-UBND 09/03/2026 của UBND tỉnh Khánh Hòa 
- Căn cứ Quyết định số 82/2026/QĐ-UBND ngày 09/10/2026</t>
  </si>
  <si>
    <t>5</t>
  </si>
  <si>
    <t xml:space="preserve">- Giấy xác nhận về thửa đất bị thu hồi để phục vụ cho công tác bồi thường,  hỗ trợ,  tái định cư khi Nhà nước thu hồi đất số 14230/GXN-KTHTĐT ngày 29/10/2026 của Phòng Kinh tế Hạ tầng Đô thị phường Nam Nha Trang;
</t>
  </si>
  <si>
    <t xml:space="preserve"> - Tổng diện tích (Thửa 258/tờ 15)</t>
  </si>
  <si>
    <t>Thu hồi trên 70% diện tích đất nông nghiệp đang sử dụng và không phải di chuyển chỗ ở (1 khẩu): 
(30kg/tháng x 12 tháng x 1 nhân khẩu) = 360 kg</t>
  </si>
  <si>
    <t>*Giá đất được áp dụng tại Nghị quyết số 15/2025/NQ-HĐND ngày 18/01/2026 của HĐND tỉnh Khánh Hòa
- Trường hợp bị thu hồi đất nông nghiệp không đủ điều kiện được hỗ trợ, đào tạo chuyển đổi nghề và tìm kiếm việc làm, thì được hỗ trợ 50% mức hỗ trợ.
- Mức hỗ trợ bằng (03) lần giá đất nông nghiệp trong Bảng giá đất hiện hành của tỉnh Khánh Hòa, đơn giá: 108.000đ/m² x 3  lần = 324.000đ/m².</t>
  </si>
  <si>
    <t>Diện tích tính hỗ trợ: 150,3 m²</t>
  </si>
  <si>
    <r>
      <t xml:space="preserve">Hộ ông Lương Quang Hà
- CCCD số 075054001884 </t>
    </r>
    <r>
      <rPr>
        <sz val="13"/>
        <rFont val="Times New Roman"/>
        <family val="1"/>
      </rPr>
      <t>ngày 26/2/2023 do CCSQLHCVTTXH cấp cho ông Lương Quang Hà</t>
    </r>
    <r>
      <rPr>
        <b/>
        <sz val="13"/>
        <rFont val="Times New Roman"/>
        <family val="1"/>
      </rPr>
      <t xml:space="preserve">
</t>
    </r>
    <r>
      <rPr>
        <sz val="13"/>
        <rFont val="Times New Roman"/>
        <family val="1"/>
      </rPr>
      <t>- Địa chỉ thường trú: 305/14 Ngọc Hội 1, Vĩnh Ngọc, Nha Trang (nay là phường Tây Nha Trang) (không thuộc vị trí giải toả)</t>
    </r>
    <r>
      <rPr>
        <b/>
        <sz val="13"/>
        <rFont val="Times New Roman"/>
        <family val="1"/>
      </rPr>
      <t xml:space="preserve">
- Số điện thoại: 0986505875; 0765373099</t>
    </r>
  </si>
  <si>
    <t>- Biên bản kiểm kê ngày 22/5/2025</t>
  </si>
  <si>
    <t>- Biên bản họp xác minh nguồn gốc đất, quá trình sử dụng đất, tình trạng sản xuất nông nghiệp ngày 17/9/2026</t>
  </si>
  <si>
    <t>- Biên bản họp xác minh nguồn gốc nhà, đất ngày 24/10/2026;</t>
  </si>
  <si>
    <t>- Biên bản điều tra, khảo sát, đo đạc, kiểm đếm ngày 07/10/2026 của TCT;</t>
  </si>
  <si>
    <t>- Biên bản họp xác minh nguồn gốc nhà, đất ngày 01/10/2026;</t>
  </si>
  <si>
    <t>- Biên bản kiểm kê khối lượng giải tỏa ngày 05/12/2025 của Tổ công tác;</t>
  </si>
  <si>
    <t xml:space="preserve">Ghi chú: Phần diện tích 379,0m²  đã được thu hồi đất để thực hiện dự án Chỉnh trị hạ lưu sông Tắc – sông Quán Trường theo Quyết định số 297/QĐ-UBND ngày 20/02/2013 của UBND thành phố Nha Trang; ông Nguyễn Văn Bảy và bà Đặng Thị Sáng đã nhận tiền và bàn giao mặt bằng theo Văn bản số 2335/DANNGT-NN ngày 11/9/2025 của Ban QLDA ĐTXD các công trình Nông nghiệp và Giao thông Khánh Hòa. </t>
  </si>
  <si>
    <t>Hộ ông Lương Quang Hà</t>
  </si>
  <si>
    <t>06 trường hợp/ 07 thửa đất</t>
  </si>
  <si>
    <t>06 trường hợp/07 thửa đất</t>
  </si>
  <si>
    <t xml:space="preserve"> * Cơ sở pháp lý áp dụng:
- Điều 95, Điều 96, khoản 6 Điều 138, khoản 1 Điều 176 của Luật đất đai năm 2024; 
- Điều 3 Nghị Quyết số 254/2025/QH15 của Quốc Hội về việc quy định một số cơ chế, chính sách tháo gỡ khó khăn, vướng mắc trong tổ chức thi hành Luật Đất đai.
- Điều 05, Điều 06, Điều 9, Điều 12 Nghị định 88/2024/NĐ-CP ngày 15/7/ 2024 của Chính phủ quy định về bồi thường, hỗ trợ và tái định cư khi Nhà nước thu hồi đất. 
- Khoản 3, Điều 11 Nghị định số 49/2026/NĐ-CP ngày 31/01/2026 của Chính phủ. 
</t>
  </si>
  <si>
    <t xml:space="preserve">V/ Tái định cư: </t>
  </si>
  <si>
    <t xml:space="preserve">* Cơ sở pháp lý áp dụng:
- Điều 95, Điều 96, Điều 139, Điều 176 của Luật đất đai năm 2024; 
- Điều 05, Điều 06, Điều 12 Nghị định 88/2024/NĐ-CP ngày 15/7/ 2024 của Chính phủ quy định về bồi thường, hỗ trợ và tái định cư khi Nhà nước thu hồi đất.  
- Điều 3 Nghị Quyết số 254/2025/QH15 của Quốc Hội về việc quy định một số cơ chế, chính sách tháo gỡ khó khăn, vướng mắc trong tổ chức thi hành Luật Đất đai. 
- Quyết định số 3105/QĐ-UBND ngày 31/12/2025 của Chủ tịch UBND phường Nam Nha Trang về việc phê duyệt kết quả thẩm định phương án giá đất cụ thể để tính bồi thường khi Nhà nước thu hồi đất để thực hiện dự án Khu đô thị hỗn hợp thành phố Nha Trang. 
- Căn cứ Công văn số 4323/UBND-VP ngày 21/7/2026 của UBND phường Nam Nha Trang về việc triển khai áp dụng giá đất để tính bồi thường các dự án trên địa bàn phường Nam Nha Trang. 
</t>
  </si>
  <si>
    <t>+ Diện tích đất ở bồi thường (trong hạn mức giao đất ở): 250m²</t>
  </si>
  <si>
    <t xml:space="preserve"> * Cơ sở pháp lý áp dụng:
- Điều 95, Điều 96, khoản 6 Điều 138, khoản 1 Điều 176 của Luật đất đai năm 2024; 
- Điều 3 Nghị Quyết số 254/2025/QH15 của Quốc Hội về việc quy định một số cơ chế, chính sách tháo gỡ khó khăn, vướng mắc trong tổ chức thi hành Luật Đất đai.
- Điều 05, Điều 06, Điều 9, Điều 12 Nghị định 88/2024/NĐ-CP ngày 15/7/ 2024 của Chính phủ quy định về bồi thường, hỗ trợ và tái định cư khi Nhà nước thu hồi đất. 
- Khoản 3, Điều 11 Nghị định số 49/2026/NĐ-CP ngày 31/01/2026 của Chính phủ. </t>
  </si>
  <si>
    <t>VI/ Khen thưởng (Trong trường hợp hộ dân bàn giao mặt bằng trước thời hạn)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</si>
</sst>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 _₫_-;\-* #,##0\ _₫_-;_-* &quot;-&quot;\ _₫_-;_-@_-"/>
    <numFmt numFmtId="165" formatCode="_(* #,##0.00_);_(* \(#,##0.00\);_(* &quot;-&quot;??_);_(@_)"/>
    <numFmt numFmtId="166" formatCode="_(* #.##0.00_);_(* \(#.##0.00\);_(* &quot;-&quot;??_);_(@_)"/>
    <numFmt numFmtId="167" formatCode="0;[Red]0"/>
    <numFmt numFmtId="168" formatCode="#,##0.0_);\(#,##0.0\)"/>
    <numFmt numFmtId="169" formatCode="#,##0.0"/>
    <numFmt numFmtId="170" formatCode="_(* #,##0_);_(* \(#,##0\);_(* &quot;-&quot;??_);_(@_)"/>
    <numFmt numFmtId="171" formatCode="0.0"/>
    <numFmt numFmtId="172" formatCode="#,##0.000"/>
  </numFmts>
  <fonts count="50" x14ac:knownFonts="1">
    <font>
      <sz val="11"/>
      <color theme="1"/>
      <name val="Arial"/>
      <family val="2"/>
      <scheme val="minor"/>
    </font>
    <font>
      <sz val="11"/>
      <color theme="1"/>
      <name val="Arial"/>
      <family val="2"/>
      <charset val="163"/>
      <scheme val="minor"/>
    </font>
    <font>
      <sz val="11"/>
      <color theme="1"/>
      <name val="Arial"/>
      <family val="2"/>
      <scheme val="minor"/>
    </font>
    <font>
      <sz val="11"/>
      <color theme="1"/>
      <name val="Arial"/>
      <family val="2"/>
      <charset val="163"/>
      <scheme val="minor"/>
    </font>
    <font>
      <sz val="10"/>
      <name val="Arial"/>
      <family val="2"/>
    </font>
    <font>
      <sz val="10"/>
      <name val="Arial"/>
      <family val="2"/>
      <charset val="163"/>
    </font>
    <font>
      <b/>
      <sz val="14"/>
      <name val="Times New Roman"/>
      <family val="1"/>
    </font>
    <font>
      <b/>
      <i/>
      <sz val="14"/>
      <name val="Times New Roman"/>
      <family val="1"/>
    </font>
    <font>
      <sz val="14"/>
      <color theme="1"/>
      <name val="Times New Roman"/>
      <family val="2"/>
    </font>
    <font>
      <sz val="12"/>
      <name val="VNI-Times"/>
    </font>
    <font>
      <b/>
      <sz val="14"/>
      <color rgb="FF000000"/>
      <name val="Times New Roman"/>
      <family val="1"/>
    </font>
    <font>
      <sz val="14"/>
      <color rgb="FF000000"/>
      <name val="Times New Roman"/>
      <family val="1"/>
    </font>
    <font>
      <b/>
      <sz val="16"/>
      <color rgb="FF000000"/>
      <name val="Times New Roman"/>
      <family val="1"/>
    </font>
    <font>
      <b/>
      <sz val="13"/>
      <color theme="1"/>
      <name val="Times New Roman"/>
      <family val="1"/>
    </font>
    <font>
      <sz val="13"/>
      <color theme="1"/>
      <name val="Times New Roman"/>
      <family val="1"/>
    </font>
    <font>
      <i/>
      <sz val="13"/>
      <color theme="1"/>
      <name val="Times New Roman"/>
      <family val="1"/>
    </font>
    <font>
      <b/>
      <i/>
      <sz val="13"/>
      <color theme="1"/>
      <name val="Times New Roman"/>
      <family val="1"/>
    </font>
    <font>
      <sz val="13"/>
      <color theme="1"/>
      <name val="Arial"/>
      <family val="2"/>
      <scheme val="minor"/>
    </font>
    <font>
      <sz val="13"/>
      <color theme="1"/>
      <name val="Times New Roman"/>
      <family val="1"/>
      <charset val="163"/>
    </font>
    <font>
      <b/>
      <vertAlign val="superscript"/>
      <sz val="13"/>
      <color theme="1"/>
      <name val="Times New Roman"/>
      <family val="1"/>
    </font>
    <font>
      <vertAlign val="superscript"/>
      <sz val="13"/>
      <color theme="1"/>
      <name val="Times New Roman"/>
      <family val="1"/>
    </font>
    <font>
      <b/>
      <sz val="13"/>
      <name val="Times New Roman"/>
      <family val="1"/>
    </font>
    <font>
      <sz val="14"/>
      <color theme="1"/>
      <name val="Times New Roman"/>
      <family val="1"/>
    </font>
    <font>
      <b/>
      <sz val="18"/>
      <color rgb="FF000000"/>
      <name val="Times New Roman"/>
      <family val="1"/>
    </font>
    <font>
      <b/>
      <i/>
      <sz val="18"/>
      <color rgb="FF000000"/>
      <name val="Times New Roman"/>
      <family val="1"/>
    </font>
    <font>
      <sz val="18"/>
      <color rgb="FF000000"/>
      <name val="Arial"/>
      <family val="2"/>
      <charset val="163"/>
      <scheme val="minor"/>
    </font>
    <font>
      <b/>
      <sz val="16"/>
      <name val="Times New Roman"/>
      <family val="1"/>
    </font>
    <font>
      <sz val="16"/>
      <color theme="1"/>
      <name val="Arial"/>
      <family val="2"/>
      <scheme val="minor"/>
    </font>
    <font>
      <sz val="16"/>
      <color rgb="FF000000"/>
      <name val="Times New Roman"/>
      <family val="1"/>
    </font>
    <font>
      <b/>
      <sz val="14"/>
      <color theme="1"/>
      <name val="Times New Roman"/>
      <family val="1"/>
    </font>
    <font>
      <sz val="14"/>
      <name val="Times New Roman"/>
      <family val="1"/>
    </font>
    <font>
      <i/>
      <sz val="14"/>
      <name val="Times New Roman"/>
      <family val="1"/>
    </font>
    <font>
      <i/>
      <sz val="14"/>
      <color rgb="FFFF0000"/>
      <name val="Times New Roman"/>
      <family val="1"/>
    </font>
    <font>
      <b/>
      <sz val="12.5"/>
      <name val="Times New Roman"/>
      <family val="1"/>
    </font>
    <font>
      <sz val="14"/>
      <color indexed="8"/>
      <name val="Times New Roman"/>
      <family val="1"/>
    </font>
    <font>
      <sz val="13"/>
      <name val="Times New Roman"/>
      <family val="1"/>
    </font>
    <font>
      <i/>
      <sz val="13"/>
      <name val="Times New Roman"/>
      <family val="1"/>
    </font>
    <font>
      <b/>
      <i/>
      <sz val="13"/>
      <name val="Times New Roman"/>
      <family val="1"/>
    </font>
    <font>
      <b/>
      <i/>
      <sz val="12.5"/>
      <name val="Times New Roman"/>
      <family val="1"/>
    </font>
    <font>
      <sz val="12.5"/>
      <name val="Times New Roman"/>
      <family val="1"/>
    </font>
    <font>
      <sz val="12"/>
      <name val="Times New Roman"/>
      <family val="1"/>
    </font>
    <font>
      <i/>
      <sz val="13"/>
      <color rgb="FFFF0000"/>
      <name val="Times New Roman"/>
      <family val="1"/>
    </font>
    <font>
      <sz val="13"/>
      <name val="Arial"/>
      <family val="2"/>
      <scheme val="minor"/>
    </font>
    <font>
      <vertAlign val="superscript"/>
      <sz val="13"/>
      <name val="Times New Roman"/>
      <family val="1"/>
    </font>
    <font>
      <sz val="13"/>
      <color indexed="8"/>
      <name val="Times New Roman"/>
      <family val="1"/>
    </font>
    <font>
      <sz val="12.5"/>
      <color theme="1"/>
      <name val="Times New Roman"/>
      <family val="1"/>
    </font>
    <font>
      <sz val="11"/>
      <name val="Arial"/>
      <family val="2"/>
      <charset val="163"/>
      <scheme val="minor"/>
    </font>
    <font>
      <b/>
      <sz val="13"/>
      <color rgb="FFFF0000"/>
      <name val="Times New Roman"/>
      <family val="1"/>
    </font>
    <font>
      <sz val="13"/>
      <color rgb="FF7030A0"/>
      <name val="Times New Roman"/>
      <family val="1"/>
    </font>
    <font>
      <b/>
      <i/>
      <sz val="13"/>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1">
    <xf numFmtId="0" fontId="0" fillId="0" borderId="0"/>
    <xf numFmtId="9" fontId="2" fillId="0" borderId="0" applyFont="0" applyFill="0" applyBorder="0" applyAlignment="0" applyProtection="0"/>
    <xf numFmtId="9" fontId="4" fillId="0" borderId="0" applyFont="0" applyFill="0" applyBorder="0" applyAlignment="0" applyProtection="0"/>
    <xf numFmtId="0" fontId="5" fillId="0" borderId="0"/>
    <xf numFmtId="166" fontId="3" fillId="0" borderId="0" applyFont="0" applyFill="0" applyBorder="0" applyAlignment="0" applyProtection="0"/>
    <xf numFmtId="0" fontId="2" fillId="0" borderId="0"/>
    <xf numFmtId="165" fontId="4" fillId="0" borderId="0" applyFont="0" applyFill="0" applyBorder="0" applyAlignment="0" applyProtection="0"/>
    <xf numFmtId="9" fontId="2" fillId="0" borderId="0" applyFont="0" applyFill="0" applyBorder="0" applyAlignment="0" applyProtection="0"/>
    <xf numFmtId="0" fontId="4" fillId="0" borderId="0"/>
    <xf numFmtId="0" fontId="1" fillId="0" borderId="0"/>
    <xf numFmtId="0" fontId="8" fillId="0" borderId="0"/>
    <xf numFmtId="165" fontId="2" fillId="0" borderId="0" applyFont="0" applyFill="0" applyBorder="0" applyAlignment="0" applyProtection="0"/>
    <xf numFmtId="0" fontId="4" fillId="0" borderId="0"/>
    <xf numFmtId="0" fontId="4" fillId="0" borderId="0"/>
    <xf numFmtId="0" fontId="9" fillId="0" borderId="0"/>
    <xf numFmtId="165" fontId="4" fillId="0" borderId="0" applyFont="0" applyFill="0" applyBorder="0" applyAlignment="0" applyProtection="0"/>
    <xf numFmtId="9" fontId="4" fillId="0" borderId="0" applyFont="0" applyFill="0" applyBorder="0" applyAlignment="0" applyProtection="0"/>
    <xf numFmtId="0" fontId="1" fillId="0" borderId="0"/>
    <xf numFmtId="0" fontId="1" fillId="0" borderId="0"/>
    <xf numFmtId="164" fontId="2" fillId="0" borderId="0" applyFont="0" applyFill="0" applyBorder="0" applyAlignment="0" applyProtection="0"/>
    <xf numFmtId="0" fontId="2" fillId="0" borderId="0"/>
  </cellStyleXfs>
  <cellXfs count="714">
    <xf numFmtId="0" fontId="0" fillId="0" borderId="0" xfId="0"/>
    <xf numFmtId="0" fontId="7" fillId="0" borderId="0" xfId="0" applyFont="1" applyAlignment="1">
      <alignment vertical="center"/>
    </xf>
    <xf numFmtId="0" fontId="11" fillId="0" borderId="0" xfId="0" applyFont="1"/>
    <xf numFmtId="0" fontId="10" fillId="0" borderId="0" xfId="0" applyFont="1"/>
    <xf numFmtId="0" fontId="11" fillId="0" borderId="0" xfId="0" applyFont="1" applyAlignment="1">
      <alignment horizontal="center"/>
    </xf>
    <xf numFmtId="0" fontId="11" fillId="0" borderId="0" xfId="0" applyFont="1" applyAlignment="1">
      <alignment vertical="center"/>
    </xf>
    <xf numFmtId="0" fontId="11" fillId="0" borderId="0" xfId="0" applyFont="1" applyAlignment="1">
      <alignment horizontal="center" vertical="center"/>
    </xf>
    <xf numFmtId="0" fontId="10" fillId="3" borderId="0" xfId="0" applyFont="1" applyFill="1" applyAlignment="1">
      <alignment horizontal="center" vertical="center"/>
    </xf>
    <xf numFmtId="0" fontId="10" fillId="3" borderId="0" xfId="0" applyFont="1" applyFill="1" applyAlignment="1">
      <alignment horizontal="right" vertical="center"/>
    </xf>
    <xf numFmtId="0" fontId="6" fillId="0" borderId="0" xfId="0" applyFont="1" applyAlignment="1">
      <alignment horizontal="left" vertical="center"/>
    </xf>
    <xf numFmtId="0" fontId="11" fillId="2" borderId="0" xfId="0" applyFont="1" applyFill="1"/>
    <xf numFmtId="0" fontId="11" fillId="2" borderId="0" xfId="0" applyFont="1" applyFill="1" applyAlignment="1">
      <alignment horizontal="center"/>
    </xf>
    <xf numFmtId="0" fontId="0" fillId="2" borderId="0" xfId="0" applyFill="1"/>
    <xf numFmtId="0" fontId="14" fillId="0" borderId="4" xfId="0" applyFont="1" applyBorder="1" applyAlignment="1">
      <alignment vertical="top" wrapText="1"/>
    </xf>
    <xf numFmtId="4" fontId="14" fillId="0" borderId="4" xfId="0" applyNumberFormat="1" applyFont="1" applyBorder="1" applyAlignment="1">
      <alignment horizontal="center" vertical="center"/>
    </xf>
    <xf numFmtId="0" fontId="13" fillId="0" borderId="4" xfId="0" quotePrefix="1" applyFont="1" applyBorder="1" applyAlignment="1">
      <alignment vertical="center" wrapText="1"/>
    </xf>
    <xf numFmtId="0" fontId="14" fillId="2" borderId="4" xfId="0" applyFont="1" applyFill="1" applyBorder="1" applyAlignment="1">
      <alignment horizontal="center" vertical="center"/>
    </xf>
    <xf numFmtId="4" fontId="14" fillId="2" borderId="4" xfId="0" applyNumberFormat="1" applyFont="1" applyFill="1" applyBorder="1" applyAlignment="1">
      <alignment horizontal="center" vertical="center"/>
    </xf>
    <xf numFmtId="3" fontId="14" fillId="2" borderId="4" xfId="0" applyNumberFormat="1" applyFont="1" applyFill="1" applyBorder="1" applyAlignment="1">
      <alignment horizontal="right" vertical="center"/>
    </xf>
    <xf numFmtId="9" fontId="14" fillId="2" borderId="4" xfId="0" applyNumberFormat="1" applyFont="1" applyFill="1" applyBorder="1" applyAlignment="1">
      <alignment horizontal="center" vertical="center"/>
    </xf>
    <xf numFmtId="0" fontId="16" fillId="0" borderId="4" xfId="0" quotePrefix="1" applyFont="1" applyBorder="1" applyAlignment="1">
      <alignment vertical="top" wrapText="1"/>
    </xf>
    <xf numFmtId="0" fontId="13" fillId="0" borderId="4" xfId="0" quotePrefix="1" applyFont="1" applyBorder="1" applyAlignment="1">
      <alignment horizontal="justify" vertical="center" wrapText="1"/>
    </xf>
    <xf numFmtId="167" fontId="13" fillId="0" borderId="2" xfId="0" quotePrefix="1" applyNumberFormat="1" applyFont="1" applyBorder="1" applyAlignment="1">
      <alignment horizontal="center" vertical="top"/>
    </xf>
    <xf numFmtId="0" fontId="13" fillId="0" borderId="2" xfId="0" quotePrefix="1" applyFont="1" applyBorder="1" applyAlignment="1">
      <alignment horizontal="left" vertical="top"/>
    </xf>
    <xf numFmtId="4" fontId="14" fillId="0" borderId="2" xfId="0" applyNumberFormat="1" applyFont="1" applyBorder="1" applyAlignment="1">
      <alignment horizontal="center" vertical="center"/>
    </xf>
    <xf numFmtId="3" fontId="14" fillId="0" borderId="2" xfId="0" applyNumberFormat="1" applyFont="1" applyBorder="1" applyAlignment="1">
      <alignment horizontal="right" vertical="top"/>
    </xf>
    <xf numFmtId="9" fontId="14" fillId="0" borderId="2" xfId="0" quotePrefix="1" applyNumberFormat="1" applyFont="1" applyBorder="1" applyAlignment="1">
      <alignment horizontal="left" vertical="top"/>
    </xf>
    <xf numFmtId="3" fontId="13" fillId="0" borderId="2" xfId="0" applyNumberFormat="1" applyFont="1" applyBorder="1" applyAlignment="1">
      <alignment horizontal="right" vertical="top"/>
    </xf>
    <xf numFmtId="167" fontId="14" fillId="0" borderId="4" xfId="0" quotePrefix="1" applyNumberFormat="1" applyFont="1" applyBorder="1" applyAlignment="1">
      <alignment horizontal="center" vertical="top"/>
    </xf>
    <xf numFmtId="0" fontId="13" fillId="0" borderId="4" xfId="0" quotePrefix="1" applyFont="1" applyBorder="1" applyAlignment="1">
      <alignment horizontal="left" vertical="top"/>
    </xf>
    <xf numFmtId="0" fontId="13" fillId="2" borderId="4" xfId="0" applyFont="1" applyFill="1" applyBorder="1" applyAlignment="1">
      <alignment horizontal="center" vertical="center"/>
    </xf>
    <xf numFmtId="4" fontId="13" fillId="0" borderId="4" xfId="0" applyNumberFormat="1" applyFont="1" applyBorder="1" applyAlignment="1">
      <alignment horizontal="center" vertical="center"/>
    </xf>
    <xf numFmtId="3" fontId="14" fillId="0" borderId="4" xfId="0" applyNumberFormat="1" applyFont="1" applyBorder="1" applyAlignment="1">
      <alignment horizontal="right" vertical="top"/>
    </xf>
    <xf numFmtId="9" fontId="14" fillId="0" borderId="4" xfId="0" quotePrefix="1" applyNumberFormat="1" applyFont="1" applyBorder="1" applyAlignment="1">
      <alignment horizontal="left" vertical="top"/>
    </xf>
    <xf numFmtId="167" fontId="14" fillId="0" borderId="4" xfId="0" applyNumberFormat="1" applyFont="1" applyBorder="1" applyAlignment="1">
      <alignment horizontal="center" vertical="top"/>
    </xf>
    <xf numFmtId="0" fontId="14" fillId="0" borderId="4" xfId="0" quotePrefix="1" applyFont="1" applyBorder="1" applyAlignment="1">
      <alignment horizontal="left" vertical="top"/>
    </xf>
    <xf numFmtId="9" fontId="14" fillId="0" borderId="4" xfId="0" applyNumberFormat="1" applyFont="1" applyBorder="1" applyAlignment="1">
      <alignment horizontal="right" vertical="top"/>
    </xf>
    <xf numFmtId="9" fontId="14" fillId="0" borderId="4" xfId="1" applyFont="1" applyBorder="1" applyAlignment="1">
      <alignment horizontal="center" vertical="center"/>
    </xf>
    <xf numFmtId="3" fontId="13" fillId="0" borderId="4" xfId="0" applyNumberFormat="1" applyFont="1" applyBorder="1" applyAlignment="1">
      <alignment horizontal="right" vertical="center" wrapText="1"/>
    </xf>
    <xf numFmtId="3" fontId="13" fillId="0" borderId="4" xfId="0" applyNumberFormat="1" applyFont="1" applyBorder="1" applyAlignment="1">
      <alignment horizontal="center" vertical="center" wrapText="1"/>
    </xf>
    <xf numFmtId="3" fontId="14" fillId="0" borderId="4" xfId="0" applyNumberFormat="1" applyFont="1" applyBorder="1" applyAlignment="1">
      <alignment horizontal="right" vertical="center"/>
    </xf>
    <xf numFmtId="9" fontId="14" fillId="0" borderId="4" xfId="2" applyFont="1" applyFill="1" applyBorder="1" applyAlignment="1">
      <alignment horizontal="center" vertical="center" wrapText="1"/>
    </xf>
    <xf numFmtId="9" fontId="14" fillId="0" borderId="4" xfId="0" applyNumberFormat="1" applyFont="1" applyBorder="1" applyAlignment="1">
      <alignment horizontal="center" vertical="center"/>
    </xf>
    <xf numFmtId="0" fontId="14" fillId="0" borderId="4" xfId="0" applyFont="1" applyBorder="1" applyAlignment="1">
      <alignment horizontal="right" vertical="center"/>
    </xf>
    <xf numFmtId="3" fontId="14" fillId="2" borderId="4" xfId="0" applyNumberFormat="1" applyFont="1" applyFill="1" applyBorder="1" applyAlignment="1">
      <alignment horizontal="right" vertical="center" wrapText="1"/>
    </xf>
    <xf numFmtId="3" fontId="14" fillId="0" borderId="4" xfId="0" applyNumberFormat="1" applyFont="1" applyBorder="1" applyAlignment="1">
      <alignment horizontal="right" vertical="center" wrapText="1"/>
    </xf>
    <xf numFmtId="3" fontId="14" fillId="0" borderId="4" xfId="0" applyNumberFormat="1" applyFont="1" applyBorder="1" applyAlignment="1">
      <alignment vertical="center" wrapText="1"/>
    </xf>
    <xf numFmtId="3" fontId="13" fillId="0" borderId="4" xfId="0" applyNumberFormat="1" applyFont="1" applyBorder="1" applyAlignment="1">
      <alignment horizontal="right" vertical="top"/>
    </xf>
    <xf numFmtId="3" fontId="14" fillId="0" borderId="4" xfId="0" applyNumberFormat="1" applyFont="1" applyBorder="1" applyAlignment="1">
      <alignment vertical="top"/>
    </xf>
    <xf numFmtId="3" fontId="13" fillId="2" borderId="4" xfId="0" applyNumberFormat="1" applyFont="1" applyFill="1" applyBorder="1" applyAlignment="1">
      <alignment horizontal="right" vertical="center" wrapText="1"/>
    </xf>
    <xf numFmtId="3" fontId="13" fillId="0" borderId="4" xfId="0" applyNumberFormat="1" applyFont="1" applyBorder="1" applyAlignment="1">
      <alignment vertical="top"/>
    </xf>
    <xf numFmtId="3" fontId="13" fillId="0" borderId="4" xfId="0" applyNumberFormat="1" applyFont="1" applyBorder="1" applyAlignment="1">
      <alignment vertical="center" wrapText="1"/>
    </xf>
    <xf numFmtId="0" fontId="14" fillId="2" borderId="4" xfId="0" applyFont="1" applyFill="1" applyBorder="1" applyAlignment="1">
      <alignment horizontal="center" vertical="center" wrapText="1"/>
    </xf>
    <xf numFmtId="170" fontId="14" fillId="0" borderId="4" xfId="15" applyNumberFormat="1" applyFont="1" applyBorder="1" applyAlignment="1">
      <alignment horizontal="right" vertical="center" wrapText="1"/>
    </xf>
    <xf numFmtId="9" fontId="14" fillId="0" borderId="4" xfId="0" applyNumberFormat="1" applyFont="1" applyBorder="1" applyAlignment="1">
      <alignment horizontal="right" vertical="center" wrapText="1"/>
    </xf>
    <xf numFmtId="0" fontId="14" fillId="2" borderId="4" xfId="0" quotePrefix="1" applyFont="1" applyFill="1" applyBorder="1" applyAlignment="1">
      <alignment vertical="top" wrapText="1"/>
    </xf>
    <xf numFmtId="0" fontId="18" fillId="2" borderId="4" xfId="0" applyFont="1" applyFill="1" applyBorder="1" applyAlignment="1">
      <alignment horizontal="center" vertical="center"/>
    </xf>
    <xf numFmtId="4" fontId="13" fillId="0" borderId="4" xfId="0" applyNumberFormat="1" applyFont="1" applyBorder="1" applyAlignment="1">
      <alignment vertical="center" wrapText="1"/>
    </xf>
    <xf numFmtId="4" fontId="13" fillId="0" borderId="4" xfId="0" applyNumberFormat="1" applyFont="1" applyBorder="1" applyAlignment="1">
      <alignment horizontal="right" vertical="center" wrapText="1"/>
    </xf>
    <xf numFmtId="0" fontId="14" fillId="0" borderId="4" xfId="0" applyFont="1" applyBorder="1" applyAlignment="1">
      <alignment horizontal="center" vertical="center"/>
    </xf>
    <xf numFmtId="0" fontId="13" fillId="0" borderId="4" xfId="0" quotePrefix="1" applyFont="1" applyBorder="1" applyAlignment="1">
      <alignment vertical="top"/>
    </xf>
    <xf numFmtId="0" fontId="14" fillId="2" borderId="4" xfId="13" applyFont="1" applyFill="1" applyBorder="1" applyAlignment="1">
      <alignment horizontal="center" vertical="center" wrapText="1"/>
    </xf>
    <xf numFmtId="4" fontId="14" fillId="0" borderId="4" xfId="13" applyNumberFormat="1" applyFont="1" applyBorder="1" applyAlignment="1">
      <alignment horizontal="center" vertical="center" wrapText="1"/>
    </xf>
    <xf numFmtId="3" fontId="14" fillId="0" borderId="4" xfId="13" applyNumberFormat="1" applyFont="1" applyBorder="1" applyAlignment="1">
      <alignment horizontal="right" vertical="top" wrapText="1"/>
    </xf>
    <xf numFmtId="9" fontId="14" fillId="0" borderId="4" xfId="2" applyFont="1" applyFill="1" applyBorder="1" applyAlignment="1">
      <alignment vertical="top" wrapText="1"/>
    </xf>
    <xf numFmtId="3" fontId="14" fillId="0" borderId="4" xfId="13" applyNumberFormat="1" applyFont="1" applyBorder="1" applyAlignment="1">
      <alignment vertical="top" wrapText="1"/>
    </xf>
    <xf numFmtId="3" fontId="14" fillId="0" borderId="4" xfId="13" applyNumberFormat="1" applyFont="1" applyBorder="1" applyAlignment="1">
      <alignment horizontal="center" vertical="center" wrapText="1"/>
    </xf>
    <xf numFmtId="3" fontId="14" fillId="0" borderId="4" xfId="13" applyNumberFormat="1" applyFont="1" applyBorder="1" applyAlignment="1">
      <alignment horizontal="right" vertical="center" wrapText="1"/>
    </xf>
    <xf numFmtId="0" fontId="13" fillId="0" borderId="4" xfId="3" quotePrefix="1" applyFont="1" applyBorder="1" applyAlignment="1">
      <alignment vertical="center"/>
    </xf>
    <xf numFmtId="9" fontId="14" fillId="0" borderId="4" xfId="0" applyNumberFormat="1" applyFont="1" applyBorder="1" applyAlignment="1">
      <alignment horizontal="right" vertical="center"/>
    </xf>
    <xf numFmtId="3" fontId="13" fillId="0" borderId="4" xfId="0" applyNumberFormat="1" applyFont="1" applyBorder="1" applyAlignment="1">
      <alignment horizontal="right" vertical="center"/>
    </xf>
    <xf numFmtId="3" fontId="14" fillId="2" borderId="4" xfId="0" applyNumberFormat="1" applyFont="1" applyFill="1" applyBorder="1" applyAlignment="1">
      <alignment horizontal="center" vertical="center"/>
    </xf>
    <xf numFmtId="3" fontId="14" fillId="2" borderId="4" xfId="0" applyNumberFormat="1" applyFont="1" applyFill="1" applyBorder="1" applyAlignment="1">
      <alignment vertical="center" wrapText="1"/>
    </xf>
    <xf numFmtId="4" fontId="14" fillId="0" borderId="4" xfId="0" applyNumberFormat="1" applyFont="1" applyBorder="1" applyAlignment="1">
      <alignment vertical="center" wrapText="1"/>
    </xf>
    <xf numFmtId="4" fontId="14" fillId="2" borderId="4" xfId="0" applyNumberFormat="1" applyFont="1" applyFill="1" applyBorder="1" applyAlignment="1">
      <alignment vertical="center" wrapText="1"/>
    </xf>
    <xf numFmtId="9" fontId="14" fillId="2" borderId="4" xfId="2" applyFont="1" applyFill="1" applyBorder="1" applyAlignment="1">
      <alignment horizontal="right" vertical="center" wrapText="1"/>
    </xf>
    <xf numFmtId="0" fontId="13" fillId="2" borderId="4" xfId="0" quotePrefix="1" applyFont="1" applyFill="1" applyBorder="1" applyAlignment="1">
      <alignment horizontal="justify" vertical="center" wrapText="1"/>
    </xf>
    <xf numFmtId="3" fontId="13" fillId="2" borderId="4" xfId="0" applyNumberFormat="1" applyFont="1" applyFill="1" applyBorder="1" applyAlignment="1">
      <alignment vertical="center" wrapText="1"/>
    </xf>
    <xf numFmtId="4" fontId="14" fillId="0" borderId="4" xfId="14" applyNumberFormat="1" applyFont="1" applyBorder="1" applyAlignment="1">
      <alignment horizontal="center" vertical="center"/>
    </xf>
    <xf numFmtId="3" fontId="14" fillId="0" borderId="4" xfId="14" applyNumberFormat="1" applyFont="1" applyBorder="1" applyAlignment="1">
      <alignment horizontal="right" vertical="top"/>
    </xf>
    <xf numFmtId="9" fontId="14" fillId="0" borderId="4" xfId="14" applyNumberFormat="1" applyFont="1" applyBorder="1" applyAlignment="1">
      <alignment horizontal="center" vertical="top" wrapText="1"/>
    </xf>
    <xf numFmtId="3" fontId="14" fillId="0" borderId="4" xfId="14" applyNumberFormat="1" applyFont="1" applyBorder="1" applyAlignment="1">
      <alignment vertical="top"/>
    </xf>
    <xf numFmtId="0" fontId="14" fillId="0" borderId="2" xfId="0" applyFont="1" applyBorder="1" applyAlignment="1">
      <alignment horizontal="center" vertical="center"/>
    </xf>
    <xf numFmtId="167" fontId="14" fillId="2" borderId="4" xfId="0" applyNumberFormat="1" applyFont="1" applyFill="1" applyBorder="1" applyAlignment="1">
      <alignment horizontal="center" vertical="top"/>
    </xf>
    <xf numFmtId="0" fontId="14" fillId="2" borderId="4" xfId="0" applyFont="1" applyFill="1" applyBorder="1"/>
    <xf numFmtId="0" fontId="13" fillId="2" borderId="4" xfId="0" quotePrefix="1" applyFont="1" applyFill="1" applyBorder="1" applyAlignment="1">
      <alignment horizontal="left" vertical="top"/>
    </xf>
    <xf numFmtId="3" fontId="13" fillId="2" borderId="4" xfId="0" applyNumberFormat="1" applyFont="1" applyFill="1" applyBorder="1" applyAlignment="1">
      <alignment horizontal="right" vertical="top"/>
    </xf>
    <xf numFmtId="9" fontId="13" fillId="0" borderId="4" xfId="1" applyFont="1" applyBorder="1" applyAlignment="1">
      <alignment horizontal="right" vertical="center" wrapText="1"/>
    </xf>
    <xf numFmtId="3" fontId="13" fillId="0" borderId="2" xfId="0" applyNumberFormat="1" applyFont="1" applyBorder="1" applyAlignment="1">
      <alignment horizontal="center" vertical="center" wrapText="1"/>
    </xf>
    <xf numFmtId="0" fontId="14" fillId="0" borderId="4" xfId="0" applyFont="1" applyBorder="1" applyAlignment="1">
      <alignment horizontal="center" vertical="top"/>
    </xf>
    <xf numFmtId="0" fontId="14" fillId="0" borderId="4" xfId="0" applyFont="1" applyBorder="1"/>
    <xf numFmtId="0" fontId="13" fillId="0" borderId="4" xfId="0" quotePrefix="1" applyFont="1" applyBorder="1" applyAlignment="1">
      <alignment vertical="top" wrapText="1"/>
    </xf>
    <xf numFmtId="169" fontId="14" fillId="0" borderId="4" xfId="0" applyNumberFormat="1" applyFont="1" applyBorder="1" applyAlignment="1">
      <alignment horizontal="center" vertical="center"/>
    </xf>
    <xf numFmtId="4" fontId="17"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4" fontId="14" fillId="0" borderId="4" xfId="15" applyNumberFormat="1" applyFont="1" applyBorder="1" applyAlignment="1">
      <alignment horizontal="center" vertical="center"/>
    </xf>
    <xf numFmtId="3" fontId="13" fillId="0" borderId="4" xfId="0" applyNumberFormat="1" applyFont="1" applyBorder="1" applyAlignment="1">
      <alignment vertical="center"/>
    </xf>
    <xf numFmtId="9" fontId="14" fillId="0" borderId="4" xfId="0" applyNumberFormat="1" applyFont="1" applyBorder="1" applyAlignment="1">
      <alignment vertical="center" wrapText="1"/>
    </xf>
    <xf numFmtId="4" fontId="14" fillId="0" borderId="4" xfId="0" quotePrefix="1" applyNumberFormat="1" applyFont="1" applyBorder="1" applyAlignment="1">
      <alignment horizontal="center" vertical="center" wrapText="1"/>
    </xf>
    <xf numFmtId="3" fontId="13" fillId="0" borderId="4" xfId="0" applyNumberFormat="1" applyFont="1" applyBorder="1" applyAlignment="1">
      <alignment vertical="top" wrapText="1"/>
    </xf>
    <xf numFmtId="0" fontId="13" fillId="2" borderId="4" xfId="0" quotePrefix="1" applyFont="1" applyFill="1" applyBorder="1" applyAlignment="1">
      <alignment vertical="top" wrapText="1"/>
    </xf>
    <xf numFmtId="0" fontId="14" fillId="2" borderId="4" xfId="0" applyFont="1" applyFill="1" applyBorder="1" applyAlignment="1">
      <alignment vertical="top" wrapText="1"/>
    </xf>
    <xf numFmtId="4" fontId="13" fillId="0" borderId="4" xfId="0" quotePrefix="1" applyNumberFormat="1" applyFont="1" applyBorder="1" applyAlignment="1">
      <alignment horizontal="left" vertical="top" wrapText="1"/>
    </xf>
    <xf numFmtId="9" fontId="14" fillId="0" borderId="4" xfId="1" applyFont="1" applyBorder="1" applyAlignment="1">
      <alignment vertical="top"/>
    </xf>
    <xf numFmtId="4" fontId="14" fillId="2" borderId="4" xfId="0" quotePrefix="1" applyNumberFormat="1" applyFont="1" applyFill="1" applyBorder="1" applyAlignment="1">
      <alignment horizontal="left" vertical="top" wrapText="1"/>
    </xf>
    <xf numFmtId="3" fontId="18" fillId="0" borderId="4" xfId="0" applyNumberFormat="1" applyFont="1" applyBorder="1" applyAlignment="1">
      <alignment vertical="center" wrapText="1"/>
    </xf>
    <xf numFmtId="3" fontId="18" fillId="0" borderId="4" xfId="0" applyNumberFormat="1" applyFont="1" applyBorder="1" applyAlignment="1">
      <alignment horizontal="right" vertical="center" wrapText="1"/>
    </xf>
    <xf numFmtId="9" fontId="18" fillId="0" borderId="4" xfId="0" applyNumberFormat="1" applyFont="1" applyBorder="1" applyAlignment="1">
      <alignment vertical="center" wrapText="1"/>
    </xf>
    <xf numFmtId="4" fontId="14" fillId="0" borderId="4" xfId="0" applyNumberFormat="1" applyFont="1" applyBorder="1" applyAlignment="1">
      <alignment horizontal="center" vertical="center" wrapText="1"/>
    </xf>
    <xf numFmtId="170" fontId="13" fillId="0" borderId="4" xfId="11" applyNumberFormat="1" applyFont="1" applyFill="1" applyBorder="1" applyAlignment="1">
      <alignment horizontal="right" vertical="center" wrapText="1"/>
    </xf>
    <xf numFmtId="4" fontId="13" fillId="0" borderId="4" xfId="0" applyNumberFormat="1" applyFont="1" applyBorder="1" applyAlignment="1">
      <alignment horizontal="center" vertical="center" wrapText="1"/>
    </xf>
    <xf numFmtId="0" fontId="14" fillId="0" borderId="4" xfId="0" applyFont="1" applyBorder="1" applyAlignment="1">
      <alignment vertical="top"/>
    </xf>
    <xf numFmtId="3" fontId="13" fillId="2" borderId="4" xfId="0" applyNumberFormat="1" applyFont="1" applyFill="1" applyBorder="1" applyAlignment="1">
      <alignment vertical="center"/>
    </xf>
    <xf numFmtId="0" fontId="13" fillId="2" borderId="4" xfId="0" quotePrefix="1" applyFont="1" applyFill="1" applyBorder="1" applyAlignment="1">
      <alignment horizontal="left" vertical="center" wrapText="1"/>
    </xf>
    <xf numFmtId="0" fontId="14" fillId="2" borderId="4" xfId="0" quotePrefix="1" applyFont="1" applyFill="1" applyBorder="1" applyAlignment="1">
      <alignment horizontal="center" vertical="center" wrapText="1"/>
    </xf>
    <xf numFmtId="170" fontId="14" fillId="2" borderId="4" xfId="6" applyNumberFormat="1" applyFont="1" applyFill="1" applyBorder="1" applyAlignment="1">
      <alignment horizontal="right" vertical="center" wrapText="1"/>
    </xf>
    <xf numFmtId="9" fontId="14" fillId="2" borderId="4" xfId="6" applyNumberFormat="1" applyFont="1" applyFill="1" applyBorder="1" applyAlignment="1">
      <alignment horizontal="right" vertical="center" wrapText="1"/>
    </xf>
    <xf numFmtId="3" fontId="14" fillId="2" borderId="4" xfId="6" applyNumberFormat="1" applyFont="1" applyFill="1" applyBorder="1" applyAlignment="1">
      <alignment horizontal="right" vertical="center" wrapText="1"/>
    </xf>
    <xf numFmtId="4" fontId="13" fillId="0" borderId="4" xfId="0" applyNumberFormat="1" applyFont="1" applyBorder="1" applyAlignment="1">
      <alignment vertical="top" wrapText="1"/>
    </xf>
    <xf numFmtId="4" fontId="14" fillId="0" borderId="4" xfId="15" quotePrefix="1" applyNumberFormat="1" applyFont="1" applyFill="1" applyBorder="1" applyAlignment="1">
      <alignment horizontal="center" vertical="center" wrapText="1"/>
    </xf>
    <xf numFmtId="170" fontId="14" fillId="0" borderId="4" xfId="15" applyNumberFormat="1" applyFont="1" applyFill="1" applyBorder="1" applyAlignment="1">
      <alignment horizontal="right" vertical="center" wrapText="1"/>
    </xf>
    <xf numFmtId="9" fontId="13" fillId="0" borderId="4" xfId="15" applyNumberFormat="1" applyFont="1" applyFill="1" applyBorder="1" applyAlignment="1">
      <alignment horizontal="right" vertical="center" wrapText="1"/>
    </xf>
    <xf numFmtId="9" fontId="14" fillId="0" borderId="4" xfId="15" applyNumberFormat="1" applyFont="1" applyFill="1" applyBorder="1" applyAlignment="1">
      <alignment horizontal="right" vertical="center" wrapText="1"/>
    </xf>
    <xf numFmtId="3" fontId="13" fillId="0" borderId="4" xfId="15" applyNumberFormat="1" applyFont="1" applyFill="1" applyBorder="1" applyAlignment="1">
      <alignment horizontal="right" vertical="center" wrapText="1"/>
    </xf>
    <xf numFmtId="167" fontId="14" fillId="2" borderId="5" xfId="0" applyNumberFormat="1" applyFont="1" applyFill="1" applyBorder="1" applyAlignment="1">
      <alignment horizontal="center" vertical="top"/>
    </xf>
    <xf numFmtId="0" fontId="13" fillId="2" borderId="5" xfId="0" quotePrefix="1" applyFont="1" applyFill="1" applyBorder="1" applyAlignment="1">
      <alignment vertical="top" wrapText="1"/>
    </xf>
    <xf numFmtId="0" fontId="14" fillId="2" borderId="5" xfId="0" applyFont="1" applyFill="1" applyBorder="1" applyAlignment="1">
      <alignment vertical="top" wrapText="1"/>
    </xf>
    <xf numFmtId="4" fontId="14" fillId="2" borderId="5" xfId="0" quotePrefix="1" applyNumberFormat="1" applyFont="1" applyFill="1" applyBorder="1" applyAlignment="1">
      <alignment horizontal="left" vertical="top" wrapText="1"/>
    </xf>
    <xf numFmtId="0" fontId="18" fillId="2" borderId="5" xfId="0" applyFont="1" applyFill="1" applyBorder="1" applyAlignment="1">
      <alignment horizontal="center" vertical="center"/>
    </xf>
    <xf numFmtId="3" fontId="18" fillId="0" borderId="5" xfId="0" applyNumberFormat="1" applyFont="1" applyBorder="1" applyAlignment="1">
      <alignment vertical="center" wrapText="1"/>
    </xf>
    <xf numFmtId="3" fontId="18" fillId="0" borderId="5" xfId="0" applyNumberFormat="1" applyFont="1" applyBorder="1" applyAlignment="1">
      <alignment horizontal="right" vertical="center" wrapText="1"/>
    </xf>
    <xf numFmtId="9" fontId="18" fillId="0" borderId="5" xfId="0" applyNumberFormat="1" applyFont="1" applyBorder="1" applyAlignment="1">
      <alignment vertical="center" wrapText="1"/>
    </xf>
    <xf numFmtId="0" fontId="14" fillId="2" borderId="5" xfId="0" applyFont="1" applyFill="1" applyBorder="1"/>
    <xf numFmtId="0" fontId="14" fillId="0" borderId="4" xfId="0" applyFont="1" applyBorder="1" applyAlignment="1">
      <alignment horizontal="right"/>
    </xf>
    <xf numFmtId="3" fontId="13" fillId="0" borderId="4" xfId="13" applyNumberFormat="1" applyFont="1" applyBorder="1" applyAlignment="1">
      <alignment vertical="top" wrapText="1"/>
    </xf>
    <xf numFmtId="9" fontId="13" fillId="0" borderId="2" xfId="1" applyFont="1" applyFill="1" applyBorder="1" applyAlignment="1">
      <alignment vertical="center"/>
    </xf>
    <xf numFmtId="9" fontId="14" fillId="0" borderId="3" xfId="1" applyFont="1" applyFill="1" applyBorder="1" applyAlignment="1">
      <alignment horizontal="left" vertical="top"/>
    </xf>
    <xf numFmtId="9" fontId="14" fillId="0" borderId="3" xfId="1" applyFont="1" applyFill="1" applyBorder="1" applyAlignment="1">
      <alignment horizontal="justify" vertical="top"/>
    </xf>
    <xf numFmtId="9" fontId="14" fillId="0" borderId="3" xfId="1" applyFont="1" applyFill="1" applyBorder="1" applyAlignment="1">
      <alignment vertical="top"/>
    </xf>
    <xf numFmtId="9" fontId="14" fillId="0" borderId="3" xfId="1" applyFont="1" applyFill="1" applyBorder="1" applyAlignment="1">
      <alignment horizontal="center" vertical="center"/>
    </xf>
    <xf numFmtId="4" fontId="14" fillId="0" borderId="3" xfId="1" applyNumberFormat="1" applyFont="1" applyFill="1" applyBorder="1" applyAlignment="1">
      <alignment horizontal="center" vertical="center"/>
    </xf>
    <xf numFmtId="3" fontId="14" fillId="0" borderId="3" xfId="1" applyNumberFormat="1" applyFont="1" applyFill="1" applyBorder="1" applyAlignment="1">
      <alignment horizontal="right" vertical="center"/>
    </xf>
    <xf numFmtId="9" fontId="14" fillId="0" borderId="3" xfId="1" applyFont="1" applyFill="1" applyBorder="1" applyAlignment="1">
      <alignment vertical="center"/>
    </xf>
    <xf numFmtId="3" fontId="14" fillId="0" borderId="3" xfId="1" applyNumberFormat="1" applyFont="1" applyFill="1" applyBorder="1" applyAlignment="1">
      <alignment vertical="center"/>
    </xf>
    <xf numFmtId="0" fontId="14" fillId="0" borderId="2" xfId="0" applyFont="1" applyBorder="1" applyAlignment="1">
      <alignment vertical="center"/>
    </xf>
    <xf numFmtId="49" fontId="13" fillId="0" borderId="2" xfId="0" applyNumberFormat="1" applyFont="1" applyBorder="1" applyAlignment="1">
      <alignment horizontal="center" vertical="center"/>
    </xf>
    <xf numFmtId="3" fontId="13" fillId="0" borderId="2" xfId="0" applyNumberFormat="1" applyFont="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4" fontId="13" fillId="0" borderId="2" xfId="0" applyNumberFormat="1" applyFont="1" applyBorder="1" applyAlignment="1">
      <alignment horizontal="center" vertical="center" wrapText="1"/>
    </xf>
    <xf numFmtId="9" fontId="13" fillId="0" borderId="2" xfId="1" applyFont="1" applyFill="1" applyBorder="1" applyAlignment="1">
      <alignment horizontal="center" vertical="center" wrapText="1"/>
    </xf>
    <xf numFmtId="49" fontId="16" fillId="0" borderId="3" xfId="0" applyNumberFormat="1" applyFont="1" applyBorder="1" applyAlignment="1">
      <alignment horizontal="center" vertical="center"/>
    </xf>
    <xf numFmtId="3" fontId="16" fillId="0" borderId="3" xfId="0" applyNumberFormat="1" applyFont="1" applyBorder="1" applyAlignment="1">
      <alignment horizontal="center" vertical="top"/>
    </xf>
    <xf numFmtId="0" fontId="16" fillId="0" borderId="3" xfId="0" applyFont="1" applyBorder="1" applyAlignment="1">
      <alignment horizontal="center" vertical="top"/>
    </xf>
    <xf numFmtId="0" fontId="16" fillId="0" borderId="3" xfId="0" applyFont="1" applyBorder="1" applyAlignment="1">
      <alignment horizontal="center" vertical="center"/>
    </xf>
    <xf numFmtId="4" fontId="15" fillId="0" borderId="3" xfId="0" applyNumberFormat="1" applyFont="1" applyBorder="1" applyAlignment="1">
      <alignment horizontal="center" vertical="center"/>
    </xf>
    <xf numFmtId="3" fontId="16" fillId="0" borderId="3" xfId="1" applyNumberFormat="1" applyFont="1" applyFill="1" applyBorder="1" applyAlignment="1">
      <alignment horizontal="center" vertical="center"/>
    </xf>
    <xf numFmtId="1" fontId="16" fillId="0" borderId="3" xfId="1" applyNumberFormat="1" applyFont="1" applyFill="1" applyBorder="1" applyAlignment="1">
      <alignment horizontal="center" vertical="center"/>
    </xf>
    <xf numFmtId="3" fontId="15" fillId="0" borderId="3" xfId="0" applyNumberFormat="1" applyFont="1" applyBorder="1" applyAlignment="1">
      <alignment horizontal="right" vertical="center"/>
    </xf>
    <xf numFmtId="3" fontId="16" fillId="0" borderId="3" xfId="0" applyNumberFormat="1" applyFont="1" applyBorder="1" applyAlignment="1">
      <alignment horizontal="center" vertical="center"/>
    </xf>
    <xf numFmtId="0" fontId="15" fillId="0" borderId="4" xfId="0" applyFont="1" applyBorder="1"/>
    <xf numFmtId="4" fontId="14" fillId="0" borderId="4" xfId="0" applyNumberFormat="1" applyFont="1" applyBorder="1" applyAlignment="1">
      <alignment horizontal="center"/>
    </xf>
    <xf numFmtId="3" fontId="13" fillId="0" borderId="4" xfId="0" quotePrefix="1" applyNumberFormat="1" applyFont="1" applyBorder="1" applyAlignment="1">
      <alignment vertical="center" wrapText="1"/>
    </xf>
    <xf numFmtId="3" fontId="14" fillId="0" borderId="4" xfId="0" applyNumberFormat="1" applyFont="1" applyBorder="1" applyAlignment="1">
      <alignment horizontal="right"/>
    </xf>
    <xf numFmtId="3" fontId="13" fillId="0" borderId="3" xfId="0" quotePrefix="1" applyNumberFormat="1" applyFont="1" applyBorder="1" applyAlignment="1">
      <alignment vertical="center" wrapText="1"/>
    </xf>
    <xf numFmtId="4" fontId="13" fillId="2" borderId="4" xfId="0" applyNumberFormat="1" applyFont="1" applyFill="1" applyBorder="1" applyAlignment="1">
      <alignment horizontal="center" vertical="center"/>
    </xf>
    <xf numFmtId="0" fontId="17" fillId="0" borderId="5" xfId="0" applyFont="1" applyBorder="1"/>
    <xf numFmtId="3" fontId="13" fillId="0" borderId="5" xfId="0" quotePrefix="1" applyNumberFormat="1" applyFont="1" applyBorder="1" applyAlignment="1">
      <alignment vertical="center" wrapText="1"/>
    </xf>
    <xf numFmtId="0" fontId="14" fillId="0" borderId="4" xfId="13" applyFont="1" applyBorder="1" applyAlignment="1">
      <alignment horizontal="center" vertical="center" wrapText="1"/>
    </xf>
    <xf numFmtId="0" fontId="13" fillId="0" borderId="2" xfId="0" quotePrefix="1" applyFont="1" applyBorder="1" applyAlignment="1">
      <alignment vertical="center" wrapText="1"/>
    </xf>
    <xf numFmtId="0" fontId="15" fillId="2" borderId="4" xfId="0" quotePrefix="1" applyFont="1" applyFill="1" applyBorder="1" applyAlignment="1">
      <alignment horizontal="left" vertical="center" wrapText="1"/>
    </xf>
    <xf numFmtId="0" fontId="14" fillId="0" borderId="4" xfId="0" quotePrefix="1" applyFont="1" applyBorder="1" applyAlignment="1">
      <alignment horizontal="left" vertical="top" wrapText="1"/>
    </xf>
    <xf numFmtId="0" fontId="13" fillId="0" borderId="4" xfId="0" quotePrefix="1" applyFont="1" applyBorder="1" applyAlignment="1">
      <alignment horizontal="left" vertical="center" wrapText="1"/>
    </xf>
    <xf numFmtId="3" fontId="13" fillId="2" borderId="4" xfId="0" applyNumberFormat="1" applyFont="1" applyFill="1" applyBorder="1" applyAlignment="1">
      <alignment horizontal="center" vertical="center" wrapText="1"/>
    </xf>
    <xf numFmtId="0" fontId="15" fillId="0" borderId="4" xfId="0" quotePrefix="1" applyFont="1" applyBorder="1" applyAlignment="1">
      <alignment horizontal="left" vertical="top" wrapText="1"/>
    </xf>
    <xf numFmtId="0" fontId="15" fillId="0" borderId="4" xfId="0" quotePrefix="1" applyFont="1" applyBorder="1" applyAlignment="1">
      <alignment vertical="top" wrapText="1"/>
    </xf>
    <xf numFmtId="4" fontId="15" fillId="0" borderId="4" xfId="0" quotePrefix="1" applyNumberFormat="1" applyFont="1" applyBorder="1" applyAlignment="1">
      <alignment horizontal="left" vertical="top" wrapText="1"/>
    </xf>
    <xf numFmtId="0" fontId="13" fillId="0" borderId="4" xfId="0" applyFont="1" applyBorder="1" applyAlignment="1">
      <alignment horizontal="center" vertical="center"/>
    </xf>
    <xf numFmtId="0" fontId="14" fillId="0" borderId="4" xfId="0" quotePrefix="1" applyFont="1" applyBorder="1" applyAlignment="1">
      <alignment vertical="top" wrapText="1"/>
    </xf>
    <xf numFmtId="0" fontId="14" fillId="0" borderId="0" xfId="0" applyFont="1" applyBorder="1"/>
    <xf numFmtId="0" fontId="13" fillId="0" borderId="0" xfId="0" quotePrefix="1" applyFont="1" applyBorder="1" applyAlignment="1">
      <alignment vertical="center" wrapText="1"/>
    </xf>
    <xf numFmtId="0" fontId="23" fillId="0" borderId="0" xfId="0" applyFont="1" applyAlignment="1">
      <alignment horizontal="center" vertical="top"/>
    </xf>
    <xf numFmtId="0" fontId="23" fillId="0" borderId="0" xfId="0" applyFont="1" applyAlignment="1">
      <alignment vertical="top"/>
    </xf>
    <xf numFmtId="0" fontId="25" fillId="0" borderId="0" xfId="0" applyFont="1" applyAlignment="1">
      <alignment vertical="top"/>
    </xf>
    <xf numFmtId="0" fontId="27" fillId="0" borderId="0" xfId="0" applyFont="1"/>
    <xf numFmtId="0" fontId="26" fillId="0" borderId="0" xfId="0" applyFont="1" applyAlignment="1">
      <alignment horizontal="center"/>
    </xf>
    <xf numFmtId="0" fontId="28" fillId="0" borderId="0" xfId="0" applyFont="1"/>
    <xf numFmtId="0" fontId="12" fillId="0" borderId="0" xfId="0" applyFont="1"/>
    <xf numFmtId="0" fontId="12" fillId="2" borderId="0" xfId="0" applyFont="1" applyFill="1"/>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0" borderId="2" xfId="0" applyFont="1" applyBorder="1" applyAlignment="1">
      <alignment horizontal="center" vertical="center" wrapText="1"/>
    </xf>
    <xf numFmtId="4" fontId="12" fillId="0" borderId="3" xfId="0" applyNumberFormat="1" applyFont="1" applyBorder="1" applyAlignment="1">
      <alignment horizontal="right" vertical="center" wrapText="1"/>
    </xf>
    <xf numFmtId="4" fontId="26" fillId="0" borderId="3" xfId="0" applyNumberFormat="1" applyFont="1" applyBorder="1" applyAlignment="1">
      <alignment horizontal="right" vertical="center"/>
    </xf>
    <xf numFmtId="0" fontId="12" fillId="0" borderId="2" xfId="0" applyFont="1" applyBorder="1" applyAlignment="1">
      <alignment horizontal="right" vertical="center" wrapText="1"/>
    </xf>
    <xf numFmtId="3" fontId="12" fillId="3" borderId="2" xfId="0" applyNumberFormat="1" applyFont="1" applyFill="1" applyBorder="1" applyAlignment="1">
      <alignment horizontal="right" vertical="center" wrapText="1"/>
    </xf>
    <xf numFmtId="3" fontId="12" fillId="0" borderId="2" xfId="0" applyNumberFormat="1" applyFont="1" applyBorder="1" applyAlignment="1">
      <alignment horizontal="right" vertical="center" wrapText="1"/>
    </xf>
    <xf numFmtId="3" fontId="12" fillId="3" borderId="3" xfId="0" applyNumberFormat="1" applyFont="1" applyFill="1" applyBorder="1" applyAlignment="1">
      <alignment horizontal="right" vertical="center" wrapText="1"/>
    </xf>
    <xf numFmtId="4" fontId="12" fillId="0" borderId="2" xfId="0" applyNumberFormat="1" applyFont="1" applyBorder="1" applyAlignment="1">
      <alignment horizontal="right" vertical="center" wrapText="1"/>
    </xf>
    <xf numFmtId="171" fontId="12" fillId="0" borderId="2" xfId="0" applyNumberFormat="1" applyFont="1" applyBorder="1" applyAlignment="1">
      <alignment horizontal="right" vertical="center" wrapText="1"/>
    </xf>
    <xf numFmtId="0" fontId="12" fillId="3" borderId="3" xfId="0" applyFont="1" applyFill="1" applyBorder="1" applyAlignment="1">
      <alignment horizontal="center" vertical="center"/>
    </xf>
    <xf numFmtId="4" fontId="12" fillId="3" borderId="3" xfId="0" applyNumberFormat="1" applyFont="1" applyFill="1" applyBorder="1" applyAlignment="1">
      <alignment horizontal="right" vertical="center"/>
    </xf>
    <xf numFmtId="3" fontId="12" fillId="3" borderId="3" xfId="0" applyNumberFormat="1" applyFont="1" applyFill="1" applyBorder="1" applyAlignment="1">
      <alignment horizontal="right" vertical="center"/>
    </xf>
    <xf numFmtId="0" fontId="14" fillId="0" borderId="4" xfId="0" quotePrefix="1" applyFont="1" applyBorder="1" applyAlignment="1">
      <alignment horizontal="left" vertical="top" wrapText="1"/>
    </xf>
    <xf numFmtId="0" fontId="15" fillId="2" borderId="4" xfId="0" quotePrefix="1" applyFont="1" applyFill="1" applyBorder="1" applyAlignment="1">
      <alignment vertical="top" wrapText="1"/>
    </xf>
    <xf numFmtId="0" fontId="13" fillId="0" borderId="2" xfId="0" quotePrefix="1" applyFont="1" applyBorder="1" applyAlignment="1">
      <alignment horizontal="center" vertical="center" wrapText="1"/>
    </xf>
    <xf numFmtId="3" fontId="13" fillId="2" borderId="4" xfId="0" applyNumberFormat="1" applyFont="1" applyFill="1" applyBorder="1" applyAlignment="1">
      <alignment horizontal="center" vertical="center" wrapText="1"/>
    </xf>
    <xf numFmtId="4" fontId="15" fillId="0" borderId="4" xfId="0" quotePrefix="1" applyNumberFormat="1" applyFont="1" applyBorder="1" applyAlignment="1">
      <alignment horizontal="left" vertical="center" wrapText="1"/>
    </xf>
    <xf numFmtId="0" fontId="13" fillId="0" borderId="4" xfId="0" applyFont="1" applyBorder="1" applyAlignment="1">
      <alignment horizontal="center" vertical="center"/>
    </xf>
    <xf numFmtId="0" fontId="14" fillId="0" borderId="4" xfId="0" quotePrefix="1" applyFont="1" applyBorder="1" applyAlignment="1">
      <alignment vertical="top" wrapText="1"/>
    </xf>
    <xf numFmtId="0" fontId="15" fillId="0" borderId="4" xfId="0" quotePrefix="1" applyFont="1" applyBorder="1" applyAlignment="1">
      <alignment horizontal="left" vertical="top" wrapText="1"/>
    </xf>
    <xf numFmtId="0" fontId="14" fillId="0" borderId="4" xfId="0" quotePrefix="1" applyFont="1" applyBorder="1" applyAlignment="1">
      <alignment horizontal="left" vertical="top" wrapText="1"/>
    </xf>
    <xf numFmtId="0" fontId="15" fillId="0" borderId="4" xfId="0" quotePrefix="1" applyFont="1" applyBorder="1" applyAlignment="1">
      <alignment horizontal="left" vertical="center" wrapText="1"/>
    </xf>
    <xf numFmtId="0" fontId="14" fillId="0" borderId="4" xfId="0" quotePrefix="1" applyFont="1" applyBorder="1" applyAlignment="1">
      <alignment horizontal="left" vertical="center" wrapText="1"/>
    </xf>
    <xf numFmtId="4" fontId="15" fillId="0" borderId="4" xfId="0" quotePrefix="1" applyNumberFormat="1" applyFont="1" applyBorder="1" applyAlignment="1">
      <alignment horizontal="left" vertical="top" wrapText="1"/>
    </xf>
    <xf numFmtId="0" fontId="13" fillId="0" borderId="4" xfId="0" quotePrefix="1" applyFont="1" applyBorder="1" applyAlignment="1">
      <alignment horizontal="left" vertical="top" wrapText="1"/>
    </xf>
    <xf numFmtId="0" fontId="23" fillId="0" borderId="0" xfId="0" applyFont="1" applyAlignment="1">
      <alignment horizontal="center" vertical="top"/>
    </xf>
    <xf numFmtId="0" fontId="26" fillId="0" borderId="0" xfId="0" applyFont="1" applyAlignment="1">
      <alignment horizontal="left"/>
    </xf>
    <xf numFmtId="1" fontId="13" fillId="0" borderId="4" xfId="19" applyNumberFormat="1" applyFont="1" applyBorder="1" applyAlignment="1">
      <alignment horizontal="right" vertical="center" wrapText="1"/>
    </xf>
    <xf numFmtId="167" fontId="6" fillId="0" borderId="2" xfId="0" quotePrefix="1" applyNumberFormat="1" applyFont="1" applyBorder="1" applyAlignment="1">
      <alignment horizontal="center" vertical="top"/>
    </xf>
    <xf numFmtId="0" fontId="6" fillId="0" borderId="2" xfId="0" quotePrefix="1" applyFont="1" applyBorder="1" applyAlignment="1">
      <alignment horizontal="left" vertical="top"/>
    </xf>
    <xf numFmtId="4" fontId="30" fillId="0" borderId="2" xfId="0" applyNumberFormat="1" applyFont="1" applyBorder="1" applyAlignment="1">
      <alignment horizontal="center" vertical="center"/>
    </xf>
    <xf numFmtId="168" fontId="30" fillId="0" borderId="2" xfId="11" applyNumberFormat="1" applyFont="1" applyBorder="1" applyAlignment="1">
      <alignment horizontal="center" vertical="center"/>
    </xf>
    <xf numFmtId="3" fontId="30" fillId="0" borderId="2" xfId="0" applyNumberFormat="1" applyFont="1" applyBorder="1" applyAlignment="1">
      <alignment horizontal="right" vertical="top"/>
    </xf>
    <xf numFmtId="9" fontId="30" fillId="0" borderId="2" xfId="0" quotePrefix="1" applyNumberFormat="1" applyFont="1" applyBorder="1" applyAlignment="1">
      <alignment horizontal="left" vertical="top"/>
    </xf>
    <xf numFmtId="3" fontId="6" fillId="0" borderId="2" xfId="0" applyNumberFormat="1" applyFont="1" applyBorder="1" applyAlignment="1">
      <alignment horizontal="right" vertical="top"/>
    </xf>
    <xf numFmtId="167" fontId="30" fillId="0" borderId="4" xfId="0" quotePrefix="1" applyNumberFormat="1" applyFont="1" applyBorder="1" applyAlignment="1">
      <alignment horizontal="center" vertical="top"/>
    </xf>
    <xf numFmtId="0" fontId="6" fillId="0" borderId="4" xfId="0" quotePrefix="1" applyFont="1" applyBorder="1" applyAlignment="1">
      <alignment horizontal="left" vertical="top"/>
    </xf>
    <xf numFmtId="4" fontId="30" fillId="0" borderId="4" xfId="0" applyNumberFormat="1" applyFont="1" applyBorder="1" applyAlignment="1">
      <alignment horizontal="center" vertical="center"/>
    </xf>
    <xf numFmtId="4" fontId="6" fillId="0" borderId="4" xfId="0" applyNumberFormat="1" applyFont="1" applyBorder="1" applyAlignment="1">
      <alignment horizontal="center" vertical="center"/>
    </xf>
    <xf numFmtId="3" fontId="30" fillId="0" borderId="4" xfId="0" applyNumberFormat="1" applyFont="1" applyBorder="1" applyAlignment="1">
      <alignment horizontal="right" vertical="top"/>
    </xf>
    <xf numFmtId="9" fontId="30" fillId="0" borderId="4" xfId="0" quotePrefix="1" applyNumberFormat="1" applyFont="1" applyBorder="1" applyAlignment="1">
      <alignment horizontal="left" vertical="top"/>
    </xf>
    <xf numFmtId="167" fontId="30" fillId="0" borderId="4" xfId="0" applyNumberFormat="1" applyFont="1" applyBorder="1" applyAlignment="1">
      <alignment horizontal="center" vertical="top"/>
    </xf>
    <xf numFmtId="0" fontId="30" fillId="0" borderId="4" xfId="0" quotePrefix="1" applyFont="1" applyBorder="1" applyAlignment="1">
      <alignment horizontal="left" vertical="top"/>
    </xf>
    <xf numFmtId="4" fontId="6" fillId="2" borderId="4" xfId="0" applyNumberFormat="1" applyFont="1" applyFill="1" applyBorder="1" applyAlignment="1">
      <alignment horizontal="center" vertical="center"/>
    </xf>
    <xf numFmtId="9" fontId="30" fillId="0" borderId="4" xfId="0" applyNumberFormat="1" applyFont="1" applyBorder="1" applyAlignment="1">
      <alignment horizontal="right" vertical="top"/>
    </xf>
    <xf numFmtId="3" fontId="6" fillId="0" borderId="4" xfId="0" applyNumberFormat="1" applyFont="1" applyBorder="1" applyAlignment="1">
      <alignment horizontal="right" vertical="top"/>
    </xf>
    <xf numFmtId="168" fontId="30" fillId="0" borderId="4" xfId="11" applyNumberFormat="1" applyFont="1" applyBorder="1" applyAlignment="1">
      <alignment horizontal="center" vertical="center"/>
    </xf>
    <xf numFmtId="0" fontId="30" fillId="0" borderId="4" xfId="0" quotePrefix="1" applyFont="1" applyBorder="1" applyAlignment="1">
      <alignment horizontal="left" vertical="top" wrapText="1"/>
    </xf>
    <xf numFmtId="9" fontId="30" fillId="0" borderId="4" xfId="1" applyFont="1" applyBorder="1" applyAlignment="1">
      <alignment horizontal="center" vertical="center"/>
    </xf>
    <xf numFmtId="4" fontId="29" fillId="0" borderId="0" xfId="0" applyNumberFormat="1" applyFont="1" applyAlignment="1">
      <alignment horizontal="center" vertical="center"/>
    </xf>
    <xf numFmtId="0" fontId="22" fillId="0" borderId="4" xfId="0" quotePrefix="1" applyFont="1" applyBorder="1" applyAlignment="1">
      <alignment vertical="top" wrapText="1"/>
    </xf>
    <xf numFmtId="9" fontId="30" fillId="0" borderId="0" xfId="1" applyFont="1" applyBorder="1" applyAlignment="1">
      <alignment horizontal="center" vertical="center"/>
    </xf>
    <xf numFmtId="4" fontId="30" fillId="2" borderId="4" xfId="0" applyNumberFormat="1" applyFont="1" applyFill="1" applyBorder="1" applyAlignment="1">
      <alignment horizontal="center" vertical="top"/>
    </xf>
    <xf numFmtId="0" fontId="30" fillId="0" borderId="4" xfId="0" applyFont="1" applyBorder="1" applyAlignment="1">
      <alignment horizontal="center" vertical="center"/>
    </xf>
    <xf numFmtId="9" fontId="30" fillId="0" borderId="4" xfId="0" applyNumberFormat="1" applyFont="1" applyBorder="1" applyAlignment="1">
      <alignment vertical="top"/>
    </xf>
    <xf numFmtId="0" fontId="30" fillId="0" borderId="0" xfId="0" applyFont="1"/>
    <xf numFmtId="0" fontId="30" fillId="0" borderId="4" xfId="0" quotePrefix="1" applyFont="1" applyBorder="1" applyAlignment="1">
      <alignment horizontal="left" vertical="center" wrapText="1"/>
    </xf>
    <xf numFmtId="167" fontId="30" fillId="2" borderId="4" xfId="0" applyNumberFormat="1" applyFont="1" applyFill="1" applyBorder="1" applyAlignment="1">
      <alignment horizontal="center" vertical="top"/>
    </xf>
    <xf numFmtId="0" fontId="6" fillId="2" borderId="4" xfId="0" quotePrefix="1" applyFont="1" applyFill="1" applyBorder="1" applyAlignment="1">
      <alignment vertical="top" wrapText="1"/>
    </xf>
    <xf numFmtId="0" fontId="22" fillId="2" borderId="4" xfId="0" applyFont="1" applyFill="1" applyBorder="1" applyAlignment="1">
      <alignment vertical="top" wrapText="1"/>
    </xf>
    <xf numFmtId="0" fontId="6" fillId="2" borderId="4" xfId="0" quotePrefix="1" applyFont="1" applyFill="1" applyBorder="1" applyAlignment="1">
      <alignment vertical="top"/>
    </xf>
    <xf numFmtId="0" fontId="30" fillId="2" borderId="4" xfId="0" applyFont="1" applyFill="1" applyBorder="1" applyAlignment="1">
      <alignment horizontal="center" vertical="center"/>
    </xf>
    <xf numFmtId="4" fontId="30" fillId="2" borderId="4" xfId="13" applyNumberFormat="1" applyFont="1" applyFill="1" applyBorder="1" applyAlignment="1">
      <alignment horizontal="center" vertical="center" wrapText="1"/>
    </xf>
    <xf numFmtId="3" fontId="30" fillId="2" borderId="4" xfId="13" applyNumberFormat="1" applyFont="1" applyFill="1" applyBorder="1" applyAlignment="1">
      <alignment horizontal="right" vertical="top" wrapText="1"/>
    </xf>
    <xf numFmtId="9" fontId="30" fillId="2" borderId="4" xfId="2" applyFont="1" applyFill="1" applyBorder="1" applyAlignment="1">
      <alignment vertical="top" wrapText="1"/>
    </xf>
    <xf numFmtId="3" fontId="6" fillId="2" borderId="4" xfId="13" applyNumberFormat="1" applyFont="1" applyFill="1" applyBorder="1" applyAlignment="1">
      <alignment horizontal="right" vertical="top" wrapText="1"/>
    </xf>
    <xf numFmtId="3" fontId="6" fillId="2" borderId="4" xfId="0" applyNumberFormat="1" applyFont="1" applyFill="1" applyBorder="1" applyAlignment="1">
      <alignment vertical="top"/>
    </xf>
    <xf numFmtId="3" fontId="6" fillId="2" borderId="4" xfId="0" applyNumberFormat="1" applyFont="1" applyFill="1" applyBorder="1" applyAlignment="1">
      <alignment horizontal="right"/>
    </xf>
    <xf numFmtId="3" fontId="6" fillId="2" borderId="4" xfId="13" applyNumberFormat="1" applyFont="1" applyFill="1" applyBorder="1" applyAlignment="1">
      <alignment vertical="top" wrapText="1"/>
    </xf>
    <xf numFmtId="4" fontId="30" fillId="2" borderId="4" xfId="0" applyNumberFormat="1" applyFont="1" applyFill="1" applyBorder="1" applyAlignment="1">
      <alignment horizontal="center" vertical="center"/>
    </xf>
    <xf numFmtId="0" fontId="6" fillId="2" borderId="4" xfId="0" quotePrefix="1" applyFont="1" applyFill="1" applyBorder="1" applyAlignment="1">
      <alignment vertical="center" wrapText="1"/>
    </xf>
    <xf numFmtId="4" fontId="30" fillId="2" borderId="4" xfId="14" applyNumberFormat="1" applyFont="1" applyFill="1" applyBorder="1" applyAlignment="1">
      <alignment horizontal="center" vertical="center"/>
    </xf>
    <xf numFmtId="3" fontId="30" fillId="2" borderId="4" xfId="14" applyNumberFormat="1" applyFont="1" applyFill="1" applyBorder="1" applyAlignment="1">
      <alignment horizontal="right" vertical="top"/>
    </xf>
    <xf numFmtId="9" fontId="34" fillId="2" borderId="4" xfId="14" applyNumberFormat="1" applyFont="1" applyFill="1" applyBorder="1" applyAlignment="1">
      <alignment horizontal="center" vertical="top" wrapText="1"/>
    </xf>
    <xf numFmtId="3" fontId="34" fillId="2" borderId="4" xfId="14" applyNumberFormat="1" applyFont="1" applyFill="1" applyBorder="1" applyAlignment="1">
      <alignment horizontal="right" vertical="top"/>
    </xf>
    <xf numFmtId="3" fontId="30" fillId="2" borderId="4" xfId="0" applyNumberFormat="1" applyFont="1" applyFill="1" applyBorder="1" applyAlignment="1">
      <alignment horizontal="right"/>
    </xf>
    <xf numFmtId="0" fontId="32" fillId="2" borderId="4" xfId="0" quotePrefix="1" applyFont="1" applyFill="1" applyBorder="1" applyAlignment="1">
      <alignment vertical="top" wrapText="1"/>
    </xf>
    <xf numFmtId="0" fontId="31" fillId="2" borderId="13" xfId="0" applyFont="1" applyFill="1" applyBorder="1" applyAlignment="1">
      <alignment vertical="center" wrapText="1"/>
    </xf>
    <xf numFmtId="0" fontId="6" fillId="2" borderId="3" xfId="0" applyFont="1" applyFill="1" applyBorder="1" applyAlignment="1">
      <alignment horizontal="center" vertical="center" wrapText="1"/>
    </xf>
    <xf numFmtId="3" fontId="6" fillId="2" borderId="3" xfId="0" quotePrefix="1" applyNumberFormat="1" applyFont="1" applyFill="1" applyBorder="1" applyAlignment="1">
      <alignment vertical="center" wrapText="1"/>
    </xf>
    <xf numFmtId="169" fontId="13" fillId="0" borderId="4" xfId="0" applyNumberFormat="1" applyFont="1" applyBorder="1" applyAlignment="1">
      <alignment horizontal="center" vertical="center"/>
    </xf>
    <xf numFmtId="4" fontId="14" fillId="2" borderId="4" xfId="0" quotePrefix="1" applyNumberFormat="1" applyFont="1" applyFill="1" applyBorder="1" applyAlignment="1">
      <alignment horizontal="center" vertical="center" wrapText="1"/>
    </xf>
    <xf numFmtId="169" fontId="14" fillId="2" borderId="4" xfId="0" applyNumberFormat="1" applyFont="1" applyFill="1" applyBorder="1" applyAlignment="1">
      <alignment horizontal="center" vertical="center"/>
    </xf>
    <xf numFmtId="0" fontId="17" fillId="0" borderId="4" xfId="0" applyFont="1" applyBorder="1" applyAlignment="1">
      <alignment horizontal="center" vertical="top"/>
    </xf>
    <xf numFmtId="3" fontId="18" fillId="0" borderId="4" xfId="0" applyNumberFormat="1" applyFont="1" applyBorder="1" applyAlignment="1">
      <alignment horizontal="center" vertical="center" wrapText="1"/>
    </xf>
    <xf numFmtId="3" fontId="13" fillId="2" borderId="4" xfId="0" quotePrefix="1" applyNumberFormat="1" applyFont="1" applyFill="1" applyBorder="1" applyAlignment="1">
      <alignment horizontal="center" vertical="center" wrapText="1"/>
    </xf>
    <xf numFmtId="3" fontId="18" fillId="0" borderId="5" xfId="0" applyNumberFormat="1" applyFont="1" applyBorder="1" applyAlignment="1">
      <alignment horizontal="center" vertical="center" wrapText="1"/>
    </xf>
    <xf numFmtId="0" fontId="35" fillId="2" borderId="4" xfId="0" quotePrefix="1" applyFont="1" applyFill="1" applyBorder="1" applyAlignment="1">
      <alignment horizontal="left" vertical="top" wrapText="1"/>
    </xf>
    <xf numFmtId="0" fontId="35" fillId="2" borderId="4" xfId="0" applyFont="1" applyFill="1" applyBorder="1" applyAlignment="1">
      <alignment horizontal="center" vertical="top"/>
    </xf>
    <xf numFmtId="9" fontId="35" fillId="2" borderId="4" xfId="0" applyNumberFormat="1" applyFont="1" applyFill="1" applyBorder="1" applyAlignment="1">
      <alignment horizontal="center" vertical="top" wrapText="1"/>
    </xf>
    <xf numFmtId="0" fontId="21" fillId="0" borderId="4" xfId="0" quotePrefix="1" applyFont="1" applyBorder="1" applyAlignment="1">
      <alignment horizontal="left" vertical="top" wrapText="1"/>
    </xf>
    <xf numFmtId="0" fontId="14" fillId="2" borderId="4" xfId="0" applyFont="1" applyFill="1" applyBorder="1" applyAlignment="1">
      <alignment horizontal="center" vertical="top" wrapText="1"/>
    </xf>
    <xf numFmtId="4" fontId="14" fillId="0" borderId="4" xfId="15" applyNumberFormat="1" applyFont="1" applyBorder="1" applyAlignment="1">
      <alignment horizontal="center" vertical="top"/>
    </xf>
    <xf numFmtId="170" fontId="14" fillId="0" borderId="4" xfId="15" applyNumberFormat="1" applyFont="1" applyBorder="1" applyAlignment="1">
      <alignment horizontal="right" vertical="top" wrapText="1"/>
    </xf>
    <xf numFmtId="9" fontId="14" fillId="0" borderId="4" xfId="0" applyNumberFormat="1" applyFont="1" applyBorder="1" applyAlignment="1">
      <alignment vertical="top" wrapText="1"/>
    </xf>
    <xf numFmtId="4" fontId="15" fillId="2" borderId="4" xfId="0" quotePrefix="1" applyNumberFormat="1" applyFont="1" applyFill="1" applyBorder="1" applyAlignment="1">
      <alignment horizontal="left" vertical="top" wrapText="1"/>
    </xf>
    <xf numFmtId="49" fontId="21" fillId="0" borderId="2" xfId="0" quotePrefix="1" applyNumberFormat="1" applyFont="1" applyBorder="1" applyAlignment="1">
      <alignment horizontal="center" vertical="top"/>
    </xf>
    <xf numFmtId="0" fontId="35" fillId="0" borderId="2" xfId="0" applyFont="1" applyBorder="1" applyAlignment="1">
      <alignment horizontal="left" vertical="top"/>
    </xf>
    <xf numFmtId="0" fontId="35" fillId="0" borderId="2" xfId="0" applyFont="1" applyBorder="1" applyAlignment="1">
      <alignment horizontal="center" vertical="center"/>
    </xf>
    <xf numFmtId="4" fontId="35" fillId="0" borderId="2" xfId="0" applyNumberFormat="1" applyFont="1" applyBorder="1" applyAlignment="1">
      <alignment horizontal="center" vertical="center"/>
    </xf>
    <xf numFmtId="3" fontId="35" fillId="0" borderId="2" xfId="0" applyNumberFormat="1" applyFont="1" applyBorder="1" applyAlignment="1">
      <alignment horizontal="center" vertical="center"/>
    </xf>
    <xf numFmtId="9" fontId="35" fillId="0" borderId="2" xfId="0" applyNumberFormat="1" applyFont="1" applyBorder="1" applyAlignment="1">
      <alignment horizontal="center" vertical="center"/>
    </xf>
    <xf numFmtId="0" fontId="35" fillId="0" borderId="2" xfId="0" applyFont="1" applyBorder="1" applyAlignment="1">
      <alignment vertical="top"/>
    </xf>
    <xf numFmtId="49" fontId="35" fillId="0" borderId="4" xfId="0" quotePrefix="1" applyNumberFormat="1" applyFont="1" applyBorder="1" applyAlignment="1">
      <alignment horizontal="center" vertical="top"/>
    </xf>
    <xf numFmtId="0" fontId="21" fillId="0" borderId="4" xfId="0" quotePrefix="1" applyFont="1" applyBorder="1" applyAlignment="1">
      <alignment horizontal="left" vertical="top" wrapText="1"/>
    </xf>
    <xf numFmtId="0" fontId="21" fillId="0" borderId="4" xfId="0" quotePrefix="1" applyFont="1" applyBorder="1" applyAlignment="1">
      <alignment horizontal="left" vertical="top"/>
    </xf>
    <xf numFmtId="0" fontId="35" fillId="0" borderId="4" xfId="0" applyFont="1" applyBorder="1" applyAlignment="1">
      <alignment horizontal="center" vertical="center"/>
    </xf>
    <xf numFmtId="4" fontId="35" fillId="0" borderId="4" xfId="0" applyNumberFormat="1" applyFont="1" applyBorder="1" applyAlignment="1">
      <alignment horizontal="center" vertical="center"/>
    </xf>
    <xf numFmtId="3" fontId="35" fillId="0" borderId="4" xfId="0" applyNumberFormat="1" applyFont="1" applyBorder="1" applyAlignment="1">
      <alignment horizontal="center" vertical="center"/>
    </xf>
    <xf numFmtId="9" fontId="35" fillId="0" borderId="4" xfId="0" quotePrefix="1" applyNumberFormat="1" applyFont="1" applyBorder="1" applyAlignment="1">
      <alignment horizontal="center" vertical="center"/>
    </xf>
    <xf numFmtId="3" fontId="21" fillId="0" borderId="4" xfId="0" applyNumberFormat="1" applyFont="1" applyBorder="1" applyAlignment="1">
      <alignment horizontal="center" vertical="center"/>
    </xf>
    <xf numFmtId="3" fontId="21" fillId="0" borderId="4" xfId="0" applyNumberFormat="1" applyFont="1" applyBorder="1" applyAlignment="1">
      <alignment horizontal="right" vertical="top"/>
    </xf>
    <xf numFmtId="49" fontId="35" fillId="0" borderId="4" xfId="0" applyNumberFormat="1" applyFont="1" applyBorder="1" applyAlignment="1">
      <alignment horizontal="center" vertical="top"/>
    </xf>
    <xf numFmtId="0" fontId="21" fillId="0" borderId="4" xfId="0" applyFont="1" applyBorder="1" applyAlignment="1">
      <alignment horizontal="center" vertical="center"/>
    </xf>
    <xf numFmtId="4" fontId="21" fillId="0" borderId="4" xfId="0" applyNumberFormat="1" applyFont="1" applyBorder="1" applyAlignment="1">
      <alignment horizontal="right" vertical="center"/>
    </xf>
    <xf numFmtId="3" fontId="35" fillId="0" borderId="4" xfId="0" applyNumberFormat="1" applyFont="1" applyBorder="1" applyAlignment="1">
      <alignment horizontal="right" vertical="top"/>
    </xf>
    <xf numFmtId="0" fontId="35" fillId="0" borderId="4" xfId="0" quotePrefix="1" applyFont="1" applyBorder="1" applyAlignment="1">
      <alignment horizontal="left" vertical="top"/>
    </xf>
    <xf numFmtId="4" fontId="35" fillId="0" borderId="4" xfId="0" applyNumberFormat="1" applyFont="1" applyBorder="1" applyAlignment="1">
      <alignment horizontal="right" vertical="center"/>
    </xf>
    <xf numFmtId="9" fontId="35" fillId="0" borderId="4" xfId="0" applyNumberFormat="1" applyFont="1" applyBorder="1" applyAlignment="1">
      <alignment horizontal="center" vertical="center"/>
    </xf>
    <xf numFmtId="0" fontId="35" fillId="2" borderId="4" xfId="0" applyFont="1" applyFill="1" applyBorder="1" applyAlignment="1">
      <alignment horizontal="center" vertical="center"/>
    </xf>
    <xf numFmtId="169" fontId="35" fillId="2" borderId="12" xfId="0" applyNumberFormat="1" applyFont="1" applyFill="1" applyBorder="1" applyAlignment="1">
      <alignment horizontal="right" vertical="center"/>
    </xf>
    <xf numFmtId="169" fontId="35" fillId="2" borderId="12" xfId="0" applyNumberFormat="1" applyFont="1" applyFill="1" applyBorder="1" applyAlignment="1">
      <alignment horizontal="center" vertical="center"/>
    </xf>
    <xf numFmtId="0" fontId="37" fillId="2" borderId="4" xfId="0" quotePrefix="1" applyFont="1" applyFill="1" applyBorder="1" applyAlignment="1">
      <alignment horizontal="left" vertical="top" wrapText="1"/>
    </xf>
    <xf numFmtId="3" fontId="21" fillId="2" borderId="2" xfId="0" applyNumberFormat="1" applyFont="1" applyFill="1" applyBorder="1" applyAlignment="1">
      <alignment horizontal="center" vertical="center" wrapText="1"/>
    </xf>
    <xf numFmtId="3" fontId="21" fillId="2" borderId="13" xfId="0" applyNumberFormat="1" applyFont="1" applyFill="1" applyBorder="1" applyAlignment="1">
      <alignment horizontal="center" vertical="center" wrapText="1"/>
    </xf>
    <xf numFmtId="3" fontId="21" fillId="0" borderId="4" xfId="0" applyNumberFormat="1" applyFont="1" applyBorder="1" applyAlignment="1">
      <alignment horizontal="center" vertical="center" wrapText="1"/>
    </xf>
    <xf numFmtId="3" fontId="21" fillId="0" borderId="4" xfId="0" applyNumberFormat="1" applyFont="1" applyBorder="1" applyAlignment="1">
      <alignment vertical="top" wrapText="1"/>
    </xf>
    <xf numFmtId="0" fontId="0" fillId="0" borderId="4" xfId="0" applyBorder="1"/>
    <xf numFmtId="0" fontId="35" fillId="0" borderId="4" xfId="0" applyFont="1" applyBorder="1" applyAlignment="1">
      <alignment horizontal="left" vertical="center" wrapText="1"/>
    </xf>
    <xf numFmtId="0" fontId="38" fillId="2" borderId="12" xfId="0" quotePrefix="1" applyFont="1" applyFill="1" applyBorder="1" applyAlignment="1">
      <alignment vertical="center" wrapText="1"/>
    </xf>
    <xf numFmtId="0" fontId="39" fillId="2" borderId="4" xfId="0" applyFont="1" applyFill="1" applyBorder="1" applyAlignment="1">
      <alignment horizontal="center" vertical="center"/>
    </xf>
    <xf numFmtId="169" fontId="39" fillId="2" borderId="4" xfId="0" applyNumberFormat="1" applyFont="1" applyFill="1" applyBorder="1" applyAlignment="1">
      <alignment horizontal="center" vertical="center"/>
    </xf>
    <xf numFmtId="3" fontId="40" fillId="2" borderId="13" xfId="0" applyNumberFormat="1" applyFont="1" applyFill="1" applyBorder="1" applyAlignment="1">
      <alignment horizontal="right" vertical="center"/>
    </xf>
    <xf numFmtId="9" fontId="35" fillId="2" borderId="4" xfId="0" applyNumberFormat="1" applyFont="1" applyFill="1" applyBorder="1" applyAlignment="1">
      <alignment horizontal="center" vertical="center"/>
    </xf>
    <xf numFmtId="3" fontId="39" fillId="2" borderId="4" xfId="0" quotePrefix="1" applyNumberFormat="1" applyFont="1" applyFill="1" applyBorder="1" applyAlignment="1">
      <alignment horizontal="right" vertical="center" wrapText="1"/>
    </xf>
    <xf numFmtId="3" fontId="39" fillId="2" borderId="4" xfId="0" applyNumberFormat="1" applyFont="1" applyFill="1" applyBorder="1" applyAlignment="1">
      <alignment horizontal="right"/>
    </xf>
    <xf numFmtId="169" fontId="33" fillId="2" borderId="4" xfId="0" quotePrefix="1" applyNumberFormat="1" applyFont="1" applyFill="1" applyBorder="1" applyAlignment="1">
      <alignment vertical="center" wrapText="1"/>
    </xf>
    <xf numFmtId="0" fontId="37" fillId="0" borderId="4" xfId="0" quotePrefix="1" applyFont="1" applyBorder="1" applyAlignment="1">
      <alignment vertical="top" wrapText="1"/>
    </xf>
    <xf numFmtId="3" fontId="35" fillId="0" borderId="4" xfId="0" applyNumberFormat="1" applyFont="1" applyBorder="1" applyAlignment="1">
      <alignment horizontal="right" vertical="center"/>
    </xf>
    <xf numFmtId="0" fontId="36" fillId="0" borderId="4" xfId="0" quotePrefix="1" applyFont="1" applyBorder="1" applyAlignment="1">
      <alignment vertical="top" wrapText="1"/>
    </xf>
    <xf numFmtId="0" fontId="35" fillId="0" borderId="4" xfId="0" quotePrefix="1" applyFont="1" applyBorder="1" applyAlignment="1">
      <alignment horizontal="left" vertical="center" wrapText="1"/>
    </xf>
    <xf numFmtId="0" fontId="35" fillId="0" borderId="4" xfId="0" applyFont="1" applyBorder="1" applyAlignment="1">
      <alignment vertical="top" wrapText="1"/>
    </xf>
    <xf numFmtId="3" fontId="21" fillId="0" borderId="0" xfId="0" applyNumberFormat="1" applyFont="1"/>
    <xf numFmtId="0" fontId="35" fillId="0" borderId="4" xfId="0" applyFont="1" applyBorder="1"/>
    <xf numFmtId="4" fontId="35" fillId="0" borderId="4" xfId="0" quotePrefix="1" applyNumberFormat="1" applyFont="1" applyBorder="1" applyAlignment="1">
      <alignment horizontal="center" vertical="center" wrapText="1"/>
    </xf>
    <xf numFmtId="0" fontId="21" fillId="0" borderId="4" xfId="0" quotePrefix="1" applyFont="1" applyBorder="1" applyAlignment="1">
      <alignment vertical="center" wrapText="1"/>
    </xf>
    <xf numFmtId="0" fontId="41" fillId="0" borderId="4" xfId="0" quotePrefix="1" applyFont="1" applyBorder="1" applyAlignment="1">
      <alignment horizontal="left" vertical="center" wrapText="1"/>
    </xf>
    <xf numFmtId="0" fontId="42" fillId="0" borderId="4" xfId="0" applyFont="1" applyBorder="1"/>
    <xf numFmtId="0" fontId="42" fillId="0" borderId="0" xfId="0" applyFont="1"/>
    <xf numFmtId="172" fontId="35" fillId="0" borderId="4" xfId="0" applyNumberFormat="1" applyFont="1" applyBorder="1" applyAlignment="1">
      <alignment horizontal="center" vertical="center"/>
    </xf>
    <xf numFmtId="3" fontId="35" fillId="0" borderId="0" xfId="0" applyNumberFormat="1" applyFont="1"/>
    <xf numFmtId="9" fontId="35" fillId="0" borderId="4" xfId="1" applyFont="1" applyBorder="1" applyAlignment="1">
      <alignment vertical="center" wrapText="1"/>
    </xf>
    <xf numFmtId="0" fontId="35" fillId="0" borderId="0" xfId="0" applyFont="1"/>
    <xf numFmtId="9" fontId="37" fillId="0" borderId="4" xfId="0" applyNumberFormat="1" applyFont="1" applyBorder="1" applyAlignment="1">
      <alignment vertical="center" wrapText="1"/>
    </xf>
    <xf numFmtId="9" fontId="36" fillId="0" borderId="4" xfId="0" applyNumberFormat="1" applyFont="1" applyBorder="1" applyAlignment="1">
      <alignment horizontal="right" vertical="center" wrapText="1"/>
    </xf>
    <xf numFmtId="169" fontId="35" fillId="0" borderId="4" xfId="0" applyNumberFormat="1" applyFont="1" applyBorder="1" applyAlignment="1">
      <alignment horizontal="center" vertical="center"/>
    </xf>
    <xf numFmtId="3" fontId="35" fillId="0" borderId="0" xfId="0" applyNumberFormat="1" applyFont="1" applyAlignment="1">
      <alignment vertical="center"/>
    </xf>
    <xf numFmtId="3" fontId="35" fillId="0" borderId="4" xfId="0" applyNumberFormat="1" applyFont="1" applyBorder="1" applyAlignment="1">
      <alignment horizontal="center" vertical="top"/>
    </xf>
    <xf numFmtId="169" fontId="35" fillId="0" borderId="4" xfId="0" applyNumberFormat="1" applyFont="1" applyBorder="1" applyAlignment="1">
      <alignment horizontal="center" vertical="top"/>
    </xf>
    <xf numFmtId="169" fontId="35" fillId="0" borderId="4" xfId="0" applyNumberFormat="1" applyFont="1" applyBorder="1" applyAlignment="1">
      <alignment horizontal="right" vertical="top"/>
    </xf>
    <xf numFmtId="0" fontId="35" fillId="0" borderId="4" xfId="0" quotePrefix="1" applyFont="1" applyBorder="1" applyAlignment="1">
      <alignment horizontal="left" vertical="top" wrapText="1"/>
    </xf>
    <xf numFmtId="0" fontId="21" fillId="0" borderId="4" xfId="0" quotePrefix="1" applyFont="1" applyBorder="1" applyAlignment="1">
      <alignment horizontal="left" vertical="center" wrapText="1"/>
    </xf>
    <xf numFmtId="3" fontId="35" fillId="0" borderId="4" xfId="0" applyNumberFormat="1" applyFont="1" applyBorder="1" applyAlignment="1">
      <alignment horizontal="right" vertical="center" wrapText="1"/>
    </xf>
    <xf numFmtId="9" fontId="35" fillId="0" borderId="4" xfId="0" applyNumberFormat="1" applyFont="1" applyBorder="1" applyAlignment="1">
      <alignment vertical="top"/>
    </xf>
    <xf numFmtId="0" fontId="35" fillId="0" borderId="4" xfId="0" quotePrefix="1" applyFont="1" applyBorder="1" applyAlignment="1">
      <alignment vertical="top" wrapText="1"/>
    </xf>
    <xf numFmtId="3" fontId="35" fillId="0" borderId="0" xfId="0" applyNumberFormat="1" applyFont="1" applyAlignment="1">
      <alignment horizontal="right" vertical="center" wrapText="1"/>
    </xf>
    <xf numFmtId="9" fontId="35" fillId="0" borderId="4" xfId="1" applyFont="1" applyFill="1" applyBorder="1" applyAlignment="1">
      <alignment vertical="center" wrapText="1"/>
    </xf>
    <xf numFmtId="3" fontId="35" fillId="0" borderId="4" xfId="0" quotePrefix="1" applyNumberFormat="1" applyFont="1" applyBorder="1" applyAlignment="1">
      <alignment horizontal="right" vertical="center" wrapText="1"/>
    </xf>
    <xf numFmtId="3" fontId="35" fillId="0" borderId="0" xfId="0" applyNumberFormat="1" applyFont="1" applyAlignment="1">
      <alignment horizontal="right" vertical="top"/>
    </xf>
    <xf numFmtId="0" fontId="21" fillId="0" borderId="4" xfId="0" quotePrefix="1" applyFont="1" applyBorder="1" applyAlignment="1">
      <alignment horizontal="center" vertical="center" wrapText="1"/>
    </xf>
    <xf numFmtId="0" fontId="35" fillId="0" borderId="0" xfId="0" quotePrefix="1" applyFont="1"/>
    <xf numFmtId="4" fontId="35" fillId="0" borderId="4" xfId="13" applyNumberFormat="1" applyFont="1" applyBorder="1" applyAlignment="1">
      <alignment horizontal="center" vertical="center" wrapText="1"/>
    </xf>
    <xf numFmtId="3" fontId="35" fillId="0" borderId="4" xfId="13" applyNumberFormat="1" applyFont="1" applyBorder="1" applyAlignment="1">
      <alignment horizontal="right" vertical="top" wrapText="1"/>
    </xf>
    <xf numFmtId="9" fontId="35" fillId="0" borderId="4" xfId="2" applyFont="1" applyFill="1" applyBorder="1" applyAlignment="1">
      <alignment vertical="top" wrapText="1"/>
    </xf>
    <xf numFmtId="3" fontId="21" fillId="0" borderId="4" xfId="13" applyNumberFormat="1" applyFont="1" applyBorder="1" applyAlignment="1">
      <alignment horizontal="right" vertical="top" wrapText="1"/>
    </xf>
    <xf numFmtId="0" fontId="37" fillId="0" borderId="4" xfId="0" quotePrefix="1" applyFont="1" applyBorder="1" applyAlignment="1">
      <alignment horizontal="left" vertical="center" wrapText="1"/>
    </xf>
    <xf numFmtId="0" fontId="35" fillId="0" borderId="4" xfId="0" applyFont="1" applyBorder="1" applyAlignment="1">
      <alignment horizontal="left" vertical="center"/>
    </xf>
    <xf numFmtId="4" fontId="35" fillId="0" borderId="4" xfId="0" applyNumberFormat="1" applyFont="1" applyBorder="1" applyAlignment="1">
      <alignment horizontal="left" vertical="center"/>
    </xf>
    <xf numFmtId="3" fontId="35" fillId="0" borderId="4" xfId="0" applyNumberFormat="1" applyFont="1" applyBorder="1" applyAlignment="1">
      <alignment horizontal="left" vertical="top"/>
    </xf>
    <xf numFmtId="9" fontId="35" fillId="0" borderId="4" xfId="0" applyNumberFormat="1" applyFont="1" applyBorder="1" applyAlignment="1">
      <alignment horizontal="left" vertical="top"/>
    </xf>
    <xf numFmtId="3" fontId="21" fillId="0" borderId="4" xfId="0" applyNumberFormat="1" applyFont="1" applyBorder="1" applyAlignment="1">
      <alignment horizontal="left" vertical="top"/>
    </xf>
    <xf numFmtId="0" fontId="14" fillId="0" borderId="0" xfId="0" quotePrefix="1" applyFont="1"/>
    <xf numFmtId="0" fontId="41" fillId="0" borderId="4" xfId="0" quotePrefix="1" applyFont="1" applyBorder="1" applyAlignment="1">
      <alignment horizontal="left" vertical="top" wrapText="1"/>
    </xf>
    <xf numFmtId="0" fontId="13" fillId="0" borderId="4" xfId="0" applyFont="1" applyBorder="1" applyAlignment="1">
      <alignment horizontal="left" vertical="center" wrapText="1"/>
    </xf>
    <xf numFmtId="3" fontId="21" fillId="0" borderId="4" xfId="0" quotePrefix="1" applyNumberFormat="1" applyFont="1" applyBorder="1" applyAlignment="1">
      <alignment vertical="center" wrapText="1"/>
    </xf>
    <xf numFmtId="0" fontId="21" fillId="0" borderId="4" xfId="0" quotePrefix="1" applyFont="1" applyBorder="1" applyAlignment="1">
      <alignment vertical="top"/>
    </xf>
    <xf numFmtId="0" fontId="35" fillId="0" borderId="4" xfId="0" quotePrefix="1" applyFont="1" applyBorder="1" applyAlignment="1">
      <alignment vertical="top"/>
    </xf>
    <xf numFmtId="0" fontId="35" fillId="0" borderId="4" xfId="13" applyFont="1" applyBorder="1" applyAlignment="1">
      <alignment horizontal="center" vertical="center" wrapText="1"/>
    </xf>
    <xf numFmtId="4" fontId="36" fillId="0" borderId="4" xfId="0" quotePrefix="1" applyNumberFormat="1" applyFont="1" applyBorder="1" applyAlignment="1">
      <alignment horizontal="left" vertical="top" wrapText="1"/>
    </xf>
    <xf numFmtId="0" fontId="21" fillId="0" borderId="0" xfId="0" quotePrefix="1" applyFont="1" applyAlignment="1">
      <alignment vertical="center"/>
    </xf>
    <xf numFmtId="3" fontId="21" fillId="0" borderId="4" xfId="0" applyNumberFormat="1" applyFont="1" applyBorder="1" applyAlignment="1">
      <alignment horizontal="right" vertical="center" wrapText="1"/>
    </xf>
    <xf numFmtId="3" fontId="21" fillId="0" borderId="4" xfId="0" applyNumberFormat="1" applyFont="1" applyBorder="1" applyAlignment="1">
      <alignment vertical="center" wrapText="1"/>
    </xf>
    <xf numFmtId="0" fontId="35" fillId="0" borderId="0" xfId="0" quotePrefix="1" applyFont="1" applyAlignment="1">
      <alignment horizontal="left" vertical="center" indent="1"/>
    </xf>
    <xf numFmtId="0" fontId="36" fillId="0" borderId="4" xfId="0" quotePrefix="1" applyFont="1" applyBorder="1" applyAlignment="1">
      <alignment horizontal="left" vertical="top" wrapText="1"/>
    </xf>
    <xf numFmtId="0" fontId="35" fillId="0" borderId="4" xfId="13" applyFont="1" applyBorder="1" applyAlignment="1">
      <alignment horizontal="right" vertical="center" wrapText="1"/>
    </xf>
    <xf numFmtId="4" fontId="21" fillId="0" borderId="0" xfId="0" quotePrefix="1" applyNumberFormat="1" applyFont="1" applyAlignment="1">
      <alignment horizontal="left" vertical="top" wrapText="1"/>
    </xf>
    <xf numFmtId="0" fontId="14" fillId="0" borderId="0" xfId="0" applyFont="1"/>
    <xf numFmtId="0" fontId="15" fillId="0" borderId="0" xfId="0" quotePrefix="1" applyFont="1"/>
    <xf numFmtId="0" fontId="16" fillId="0" borderId="0" xfId="0" quotePrefix="1" applyFont="1"/>
    <xf numFmtId="0" fontId="21" fillId="0" borderId="4" xfId="3" quotePrefix="1" applyFont="1" applyBorder="1" applyAlignment="1">
      <alignment vertical="center"/>
    </xf>
    <xf numFmtId="0" fontId="35" fillId="2" borderId="4" xfId="0" quotePrefix="1" applyFont="1" applyFill="1" applyBorder="1" applyAlignment="1">
      <alignment vertical="top" wrapText="1"/>
    </xf>
    <xf numFmtId="4" fontId="35" fillId="0" borderId="4" xfId="0" applyNumberFormat="1" applyFont="1" applyBorder="1" applyAlignment="1">
      <alignment horizontal="center" vertical="center" wrapText="1"/>
    </xf>
    <xf numFmtId="4" fontId="35" fillId="2" borderId="4" xfId="0" applyNumberFormat="1" applyFont="1" applyFill="1" applyBorder="1" applyAlignment="1">
      <alignment horizontal="center" vertical="center"/>
    </xf>
    <xf numFmtId="3" fontId="35" fillId="2" borderId="4" xfId="0" applyNumberFormat="1" applyFont="1" applyFill="1" applyBorder="1" applyAlignment="1">
      <alignment horizontal="right" vertical="center"/>
    </xf>
    <xf numFmtId="3" fontId="35" fillId="2" borderId="4" xfId="0" applyNumberFormat="1" applyFont="1" applyFill="1" applyBorder="1" applyAlignment="1">
      <alignment horizontal="center" vertical="center"/>
    </xf>
    <xf numFmtId="0" fontId="2" fillId="0" borderId="4" xfId="0" applyFont="1" applyBorder="1"/>
    <xf numFmtId="0" fontId="35" fillId="0" borderId="4" xfId="0" applyFont="1" applyBorder="1" applyAlignment="1">
      <alignment vertical="top"/>
    </xf>
    <xf numFmtId="4" fontId="21" fillId="0" borderId="4" xfId="0" applyNumberFormat="1" applyFont="1" applyBorder="1" applyAlignment="1">
      <alignment vertical="center" wrapText="1"/>
    </xf>
    <xf numFmtId="4" fontId="35" fillId="0" borderId="4" xfId="0" applyNumberFormat="1" applyFont="1" applyBorder="1" applyAlignment="1">
      <alignment vertical="center" wrapText="1"/>
    </xf>
    <xf numFmtId="3" fontId="35" fillId="2" borderId="4" xfId="0" applyNumberFormat="1" applyFont="1" applyFill="1" applyBorder="1" applyAlignment="1">
      <alignment vertical="center" wrapText="1"/>
    </xf>
    <xf numFmtId="9" fontId="35" fillId="2" borderId="4" xfId="2" applyFont="1" applyFill="1" applyBorder="1" applyAlignment="1">
      <alignment horizontal="right" vertical="center" wrapText="1"/>
    </xf>
    <xf numFmtId="4" fontId="21" fillId="0" borderId="4" xfId="0" applyNumberFormat="1" applyFont="1" applyBorder="1" applyAlignment="1">
      <alignment vertical="top" wrapText="1"/>
    </xf>
    <xf numFmtId="0" fontId="21" fillId="2" borderId="4" xfId="0" quotePrefix="1" applyFont="1" applyFill="1" applyBorder="1" applyAlignment="1">
      <alignment horizontal="left" vertical="top" wrapText="1"/>
    </xf>
    <xf numFmtId="0" fontId="36" fillId="2" borderId="4" xfId="0" quotePrefix="1" applyFont="1" applyFill="1" applyBorder="1" applyAlignment="1">
      <alignment horizontal="left" vertical="top" wrapText="1"/>
    </xf>
    <xf numFmtId="0" fontId="21" fillId="2" borderId="4" xfId="0" quotePrefix="1" applyFont="1" applyFill="1" applyBorder="1" applyAlignment="1">
      <alignment horizontal="left" vertical="top"/>
    </xf>
    <xf numFmtId="3" fontId="21" fillId="2" borderId="4" xfId="0" quotePrefix="1" applyNumberFormat="1" applyFont="1" applyFill="1" applyBorder="1" applyAlignment="1">
      <alignment vertical="center" wrapText="1"/>
    </xf>
    <xf numFmtId="3" fontId="21" fillId="2" borderId="4" xfId="0" applyNumberFormat="1" applyFont="1" applyFill="1" applyBorder="1" applyAlignment="1">
      <alignment vertical="center" wrapText="1"/>
    </xf>
    <xf numFmtId="0" fontId="35" fillId="2" borderId="4" xfId="0" applyFont="1" applyFill="1" applyBorder="1" applyAlignment="1">
      <alignment horizontal="center" vertical="center" wrapText="1"/>
    </xf>
    <xf numFmtId="4" fontId="35" fillId="2" borderId="4" xfId="6" applyNumberFormat="1" applyFont="1" applyFill="1" applyBorder="1" applyAlignment="1">
      <alignment horizontal="right" vertical="center"/>
    </xf>
    <xf numFmtId="0" fontId="39" fillId="2" borderId="4" xfId="3" quotePrefix="1" applyFont="1" applyFill="1" applyBorder="1" applyAlignment="1">
      <alignment horizontal="left" vertical="center" wrapText="1"/>
    </xf>
    <xf numFmtId="3" fontId="35" fillId="2" borderId="4" xfId="0" quotePrefix="1" applyNumberFormat="1" applyFont="1" applyFill="1" applyBorder="1" applyAlignment="1">
      <alignment vertical="center" wrapText="1"/>
    </xf>
    <xf numFmtId="9" fontId="35" fillId="2" borderId="4" xfId="1" applyFont="1" applyFill="1" applyBorder="1" applyAlignment="1">
      <alignment vertical="center" wrapText="1"/>
    </xf>
    <xf numFmtId="0" fontId="35" fillId="0" borderId="4" xfId="0" quotePrefix="1" applyFont="1" applyBorder="1" applyAlignment="1">
      <alignment horizontal="center" vertical="center" wrapText="1"/>
    </xf>
    <xf numFmtId="4" fontId="35" fillId="0" borderId="4" xfId="15" quotePrefix="1" applyNumberFormat="1" applyFont="1" applyFill="1" applyBorder="1" applyAlignment="1">
      <alignment horizontal="center" vertical="center" wrapText="1"/>
    </xf>
    <xf numFmtId="170" fontId="35" fillId="0" borderId="4" xfId="15" applyNumberFormat="1" applyFont="1" applyFill="1" applyBorder="1" applyAlignment="1">
      <alignment horizontal="center" vertical="center" wrapText="1"/>
    </xf>
    <xf numFmtId="9" fontId="35" fillId="0" borderId="4" xfId="15" applyNumberFormat="1" applyFont="1" applyFill="1" applyBorder="1" applyAlignment="1">
      <alignment horizontal="center" vertical="center" wrapText="1"/>
    </xf>
    <xf numFmtId="3" fontId="21" fillId="0" borderId="4" xfId="15" applyNumberFormat="1" applyFont="1" applyFill="1" applyBorder="1" applyAlignment="1">
      <alignment horizontal="center" vertical="center" wrapText="1"/>
    </xf>
    <xf numFmtId="3" fontId="21" fillId="0" borderId="4" xfId="13" applyNumberFormat="1" applyFont="1" applyBorder="1" applyAlignment="1">
      <alignment vertical="top" wrapText="1"/>
    </xf>
    <xf numFmtId="4" fontId="35" fillId="2" borderId="4" xfId="0" applyNumberFormat="1" applyFont="1" applyFill="1" applyBorder="1" applyAlignment="1">
      <alignment vertical="center"/>
    </xf>
    <xf numFmtId="9" fontId="35" fillId="2" borderId="13" xfId="0" applyNumberFormat="1" applyFont="1" applyFill="1" applyBorder="1" applyAlignment="1">
      <alignment horizontal="right" vertical="center" wrapText="1"/>
    </xf>
    <xf numFmtId="3" fontId="35" fillId="2" borderId="13" xfId="0" applyNumberFormat="1" applyFont="1" applyFill="1" applyBorder="1" applyAlignment="1">
      <alignment vertical="center" wrapText="1"/>
    </xf>
    <xf numFmtId="9" fontId="35" fillId="2" borderId="4" xfId="0" applyNumberFormat="1" applyFont="1" applyFill="1" applyBorder="1" applyAlignment="1">
      <alignment horizontal="right" vertical="center" wrapText="1"/>
    </xf>
    <xf numFmtId="0" fontId="21" fillId="0" borderId="4" xfId="0" quotePrefix="1" applyFont="1" applyBorder="1" applyAlignment="1">
      <alignment horizontal="left" vertical="center" wrapText="1"/>
    </xf>
    <xf numFmtId="4" fontId="35" fillId="0" borderId="4" xfId="14" applyNumberFormat="1" applyFont="1" applyBorder="1" applyAlignment="1">
      <alignment horizontal="center" vertical="center"/>
    </xf>
    <xf numFmtId="3" fontId="35" fillId="0" borderId="4" xfId="14" applyNumberFormat="1" applyFont="1" applyBorder="1" applyAlignment="1">
      <alignment horizontal="center" vertical="center"/>
    </xf>
    <xf numFmtId="9" fontId="44" fillId="0" borderId="4" xfId="14" applyNumberFormat="1" applyFont="1" applyBorder="1" applyAlignment="1">
      <alignment horizontal="center" vertical="center" wrapText="1"/>
    </xf>
    <xf numFmtId="3" fontId="44" fillId="0" borderId="4" xfId="14" applyNumberFormat="1" applyFont="1" applyBorder="1" applyAlignment="1">
      <alignment horizontal="center" vertical="center"/>
    </xf>
    <xf numFmtId="3" fontId="35" fillId="0" borderId="4" xfId="0" applyNumberFormat="1" applyFont="1" applyBorder="1" applyAlignment="1">
      <alignment horizontal="right"/>
    </xf>
    <xf numFmtId="0" fontId="35" fillId="0" borderId="4" xfId="0" applyFont="1" applyBorder="1" applyAlignment="1">
      <alignment horizontal="center" vertical="center" wrapText="1"/>
    </xf>
    <xf numFmtId="4" fontId="21" fillId="0" borderId="4" xfId="0" quotePrefix="1" applyNumberFormat="1" applyFont="1" applyBorder="1" applyAlignment="1">
      <alignment vertical="center" wrapText="1"/>
    </xf>
    <xf numFmtId="0" fontId="0" fillId="0" borderId="5" xfId="0" applyBorder="1"/>
    <xf numFmtId="0" fontId="35" fillId="0" borderId="4" xfId="0" applyFont="1" applyBorder="1" applyAlignment="1">
      <alignment horizontal="center" vertical="top"/>
    </xf>
    <xf numFmtId="4" fontId="35" fillId="0" borderId="4" xfId="0" applyNumberFormat="1" applyFont="1" applyBorder="1" applyAlignment="1">
      <alignment horizontal="center" vertical="top"/>
    </xf>
    <xf numFmtId="3" fontId="35" fillId="0" borderId="4" xfId="0" applyNumberFormat="1" applyFont="1" applyBorder="1" applyAlignment="1">
      <alignment horizontal="right" vertical="top" wrapText="1"/>
    </xf>
    <xf numFmtId="9" fontId="35" fillId="0" borderId="4" xfId="0" applyNumberFormat="1" applyFont="1" applyBorder="1" applyAlignment="1">
      <alignment horizontal="center" vertical="top"/>
    </xf>
    <xf numFmtId="0" fontId="21" fillId="0" borderId="4" xfId="0" quotePrefix="1" applyFont="1" applyBorder="1" applyAlignment="1">
      <alignment vertical="top" wrapText="1"/>
    </xf>
    <xf numFmtId="0" fontId="12" fillId="0" borderId="2" xfId="0" quotePrefix="1" applyFont="1" applyBorder="1" applyAlignment="1">
      <alignment horizontal="left" vertical="center" wrapText="1"/>
    </xf>
    <xf numFmtId="4" fontId="35" fillId="0" borderId="4" xfId="13" applyNumberFormat="1" applyFont="1" applyBorder="1" applyAlignment="1">
      <alignment horizontal="center" vertical="top" wrapText="1"/>
    </xf>
    <xf numFmtId="3" fontId="35" fillId="0" borderId="0" xfId="0" applyNumberFormat="1" applyFont="1" applyAlignment="1">
      <alignment horizontal="right" vertical="top" wrapText="1"/>
    </xf>
    <xf numFmtId="9" fontId="35" fillId="0" borderId="4" xfId="1" applyFont="1" applyFill="1" applyBorder="1" applyAlignment="1">
      <alignment vertical="top" wrapText="1"/>
    </xf>
    <xf numFmtId="3" fontId="35" fillId="0" borderId="4" xfId="0" quotePrefix="1" applyNumberFormat="1" applyFont="1" applyBorder="1" applyAlignment="1">
      <alignment horizontal="right" vertical="top" wrapText="1"/>
    </xf>
    <xf numFmtId="0" fontId="14" fillId="0" borderId="5" xfId="0" applyFont="1" applyBorder="1"/>
    <xf numFmtId="0" fontId="35" fillId="0" borderId="4" xfId="0" quotePrefix="1" applyFont="1" applyBorder="1" applyAlignment="1">
      <alignment horizontal="left" vertical="top" wrapText="1"/>
    </xf>
    <xf numFmtId="0" fontId="35" fillId="0" borderId="4" xfId="0" quotePrefix="1" applyFont="1" applyBorder="1" applyAlignment="1">
      <alignment horizontal="left" vertical="center" wrapText="1"/>
    </xf>
    <xf numFmtId="0" fontId="21" fillId="0" borderId="4" xfId="0" quotePrefix="1" applyFont="1" applyBorder="1" applyAlignment="1">
      <alignment horizontal="left" vertical="top" wrapText="1"/>
    </xf>
    <xf numFmtId="167" fontId="35" fillId="0" borderId="4" xfId="0" quotePrefix="1" applyNumberFormat="1" applyFont="1" applyBorder="1" applyAlignment="1">
      <alignment horizontal="center" vertical="top"/>
    </xf>
    <xf numFmtId="4" fontId="21" fillId="0" borderId="4" xfId="0" applyNumberFormat="1" applyFont="1" applyBorder="1" applyAlignment="1">
      <alignment horizontal="center" vertical="center"/>
    </xf>
    <xf numFmtId="9" fontId="35" fillId="0" borderId="4" xfId="0" quotePrefix="1" applyNumberFormat="1" applyFont="1" applyBorder="1" applyAlignment="1">
      <alignment horizontal="left" vertical="top"/>
    </xf>
    <xf numFmtId="167" fontId="35" fillId="0" borderId="4" xfId="0" applyNumberFormat="1" applyFont="1" applyBorder="1" applyAlignment="1">
      <alignment horizontal="center" vertical="top"/>
    </xf>
    <xf numFmtId="9" fontId="35" fillId="0" borderId="4" xfId="0" applyNumberFormat="1" applyFont="1" applyBorder="1" applyAlignment="1">
      <alignment horizontal="right" vertical="top"/>
    </xf>
    <xf numFmtId="9" fontId="35" fillId="0" borderId="4" xfId="1" applyFont="1" applyBorder="1" applyAlignment="1">
      <alignment horizontal="center" vertical="center"/>
    </xf>
    <xf numFmtId="168" fontId="21" fillId="0" borderId="4" xfId="11" applyNumberFormat="1" applyFont="1" applyFill="1" applyBorder="1" applyAlignment="1">
      <alignment horizontal="center" vertical="center"/>
    </xf>
    <xf numFmtId="0" fontId="35" fillId="0" borderId="4" xfId="0" applyFont="1" applyBorder="1" applyAlignment="1">
      <alignment horizontal="right" vertical="center"/>
    </xf>
    <xf numFmtId="4" fontId="35" fillId="0" borderId="4" xfId="0" applyNumberFormat="1" applyFont="1" applyBorder="1" applyAlignment="1">
      <alignment horizontal="center"/>
    </xf>
    <xf numFmtId="0" fontId="35" fillId="0" borderId="4" xfId="0" applyFont="1" applyBorder="1" applyAlignment="1">
      <alignment horizontal="right"/>
    </xf>
    <xf numFmtId="3" fontId="21" fillId="0" borderId="4" xfId="0" applyNumberFormat="1" applyFont="1" applyBorder="1" applyAlignment="1">
      <alignment vertical="top"/>
    </xf>
    <xf numFmtId="4" fontId="36" fillId="0" borderId="4" xfId="0" quotePrefix="1" applyNumberFormat="1" applyFont="1" applyBorder="1" applyAlignment="1">
      <alignment horizontal="left" vertical="center" wrapText="1"/>
    </xf>
    <xf numFmtId="0" fontId="21" fillId="0" borderId="4" xfId="0" quotePrefix="1" applyFont="1" applyBorder="1" applyAlignment="1">
      <alignment horizontal="right" vertical="center" wrapText="1"/>
    </xf>
    <xf numFmtId="0" fontId="21" fillId="0" borderId="13" xfId="0" applyFont="1" applyBorder="1" applyAlignment="1">
      <alignment horizontal="justify" vertical="center" wrapText="1"/>
    </xf>
    <xf numFmtId="0" fontId="35" fillId="0" borderId="12" xfId="0" applyFont="1" applyBorder="1" applyAlignment="1">
      <alignment horizontal="center" vertical="center"/>
    </xf>
    <xf numFmtId="3" fontId="35" fillId="0" borderId="4" xfId="14" applyNumberFormat="1" applyFont="1" applyBorder="1" applyAlignment="1">
      <alignment horizontal="right" vertical="top"/>
    </xf>
    <xf numFmtId="9" fontId="35" fillId="0" borderId="4" xfId="14" applyNumberFormat="1" applyFont="1" applyBorder="1" applyAlignment="1">
      <alignment horizontal="center" vertical="top" wrapText="1"/>
    </xf>
    <xf numFmtId="9" fontId="35" fillId="0" borderId="4" xfId="2" applyFont="1" applyFill="1" applyBorder="1" applyAlignment="1">
      <alignment horizontal="center" vertical="center" wrapText="1"/>
    </xf>
    <xf numFmtId="0" fontId="21" fillId="0" borderId="4" xfId="0" applyFont="1" applyBorder="1" applyAlignment="1">
      <alignment horizontal="left" vertical="center" wrapText="1"/>
    </xf>
    <xf numFmtId="4" fontId="35" fillId="0" borderId="4" xfId="15" applyNumberFormat="1" applyFont="1" applyBorder="1" applyAlignment="1">
      <alignment horizontal="center" vertical="center"/>
    </xf>
    <xf numFmtId="3" fontId="35" fillId="0" borderId="4" xfId="15" applyNumberFormat="1" applyFont="1" applyBorder="1" applyAlignment="1">
      <alignment horizontal="center" vertical="center" wrapText="1"/>
    </xf>
    <xf numFmtId="9" fontId="35" fillId="0" borderId="4" xfId="0" applyNumberFormat="1" applyFont="1" applyBorder="1" applyAlignment="1">
      <alignment horizontal="center" vertical="center" wrapText="1"/>
    </xf>
    <xf numFmtId="170" fontId="35" fillId="0" borderId="4" xfId="15" applyNumberFormat="1" applyFont="1" applyBorder="1" applyAlignment="1">
      <alignment horizontal="center" vertical="center" wrapText="1"/>
    </xf>
    <xf numFmtId="4" fontId="36" fillId="0" borderId="4" xfId="0" quotePrefix="1" applyNumberFormat="1" applyFont="1" applyBorder="1" applyAlignment="1">
      <alignment horizontal="left" vertical="center" wrapText="1"/>
    </xf>
    <xf numFmtId="4" fontId="35" fillId="0" borderId="4" xfId="0" quotePrefix="1" applyNumberFormat="1" applyFont="1" applyBorder="1" applyAlignment="1">
      <alignment horizontal="left" vertical="top" wrapText="1"/>
    </xf>
    <xf numFmtId="3" fontId="35" fillId="0" borderId="4" xfId="15" applyNumberFormat="1" applyFont="1" applyBorder="1" applyAlignment="1">
      <alignment horizontal="center" vertical="center"/>
    </xf>
    <xf numFmtId="4" fontId="35" fillId="2" borderId="4" xfId="0" quotePrefix="1" applyNumberFormat="1" applyFont="1" applyFill="1" applyBorder="1" applyAlignment="1">
      <alignment vertical="center" wrapText="1"/>
    </xf>
    <xf numFmtId="4" fontId="35" fillId="2" borderId="4" xfId="0" applyNumberFormat="1" applyFont="1" applyFill="1" applyBorder="1" applyAlignment="1">
      <alignment vertical="center" wrapText="1"/>
    </xf>
    <xf numFmtId="9" fontId="35" fillId="0" borderId="4" xfId="0" quotePrefix="1" applyNumberFormat="1" applyFont="1" applyBorder="1" applyAlignment="1">
      <alignment horizontal="center" vertical="center" wrapText="1"/>
    </xf>
    <xf numFmtId="0" fontId="36" fillId="0" borderId="4" xfId="0" quotePrefix="1" applyFont="1" applyBorder="1" applyAlignment="1">
      <alignment vertical="center" wrapText="1"/>
    </xf>
    <xf numFmtId="4" fontId="21" fillId="0" borderId="0" xfId="0" applyNumberFormat="1" applyFont="1" applyAlignment="1">
      <alignment horizontal="center"/>
    </xf>
    <xf numFmtId="168" fontId="35" fillId="0" borderId="4" xfId="11" applyNumberFormat="1" applyFont="1" applyBorder="1" applyAlignment="1">
      <alignment horizontal="center" vertical="center"/>
    </xf>
    <xf numFmtId="0" fontId="35" fillId="0" borderId="12" xfId="0" applyFont="1" applyBorder="1"/>
    <xf numFmtId="0" fontId="46" fillId="0" borderId="4" xfId="0" applyFont="1" applyBorder="1"/>
    <xf numFmtId="0" fontId="46" fillId="0" borderId="4" xfId="0" applyFont="1" applyBorder="1" applyAlignment="1">
      <alignment horizontal="right"/>
    </xf>
    <xf numFmtId="0" fontId="36" fillId="0" borderId="13" xfId="0" applyFont="1" applyBorder="1" applyAlignment="1">
      <alignment horizontal="left" vertical="center" wrapText="1"/>
    </xf>
    <xf numFmtId="3" fontId="21" fillId="0" borderId="4" xfId="13" applyNumberFormat="1" applyFont="1" applyBorder="1" applyAlignment="1">
      <alignment horizontal="right" vertical="center" wrapText="1"/>
    </xf>
    <xf numFmtId="3" fontId="21" fillId="0" borderId="4" xfId="13" applyNumberFormat="1" applyFont="1" applyBorder="1" applyAlignment="1">
      <alignment horizontal="center" vertical="center" wrapText="1"/>
    </xf>
    <xf numFmtId="0" fontId="35" fillId="2" borderId="4" xfId="20" applyFont="1" applyFill="1" applyBorder="1" applyAlignment="1">
      <alignment horizontal="right" vertical="center"/>
    </xf>
    <xf numFmtId="3" fontId="21" fillId="0" borderId="4" xfId="0" quotePrefix="1" applyNumberFormat="1" applyFont="1" applyBorder="1" applyAlignment="1">
      <alignment horizontal="right" vertical="center" wrapText="1"/>
    </xf>
    <xf numFmtId="9" fontId="21" fillId="0" borderId="4" xfId="15" applyNumberFormat="1" applyFont="1" applyFill="1" applyBorder="1" applyAlignment="1">
      <alignment horizontal="center" vertical="center" wrapText="1"/>
    </xf>
    <xf numFmtId="3" fontId="21" fillId="0" borderId="4" xfId="15" applyNumberFormat="1" applyFont="1" applyFill="1" applyBorder="1" applyAlignment="1">
      <alignment horizontal="right" vertical="center" wrapText="1"/>
    </xf>
    <xf numFmtId="0" fontId="36" fillId="0" borderId="13" xfId="0" applyFont="1" applyBorder="1" applyAlignment="1">
      <alignment vertical="center" wrapText="1"/>
    </xf>
    <xf numFmtId="0" fontId="21" fillId="0" borderId="2" xfId="0" applyFont="1" applyBorder="1" applyAlignment="1">
      <alignment horizontal="center" vertical="center" wrapText="1"/>
    </xf>
    <xf numFmtId="3" fontId="21" fillId="0" borderId="4" xfId="0" applyNumberFormat="1" applyFont="1" applyBorder="1" applyAlignment="1">
      <alignment horizontal="right" vertical="center"/>
    </xf>
    <xf numFmtId="0" fontId="36" fillId="2" borderId="4" xfId="0" quotePrefix="1" applyFont="1" applyFill="1" applyBorder="1" applyAlignment="1">
      <alignment vertical="top" wrapText="1"/>
    </xf>
    <xf numFmtId="3" fontId="21" fillId="2" borderId="2" xfId="0" applyNumberFormat="1" applyFont="1" applyFill="1" applyBorder="1" applyAlignment="1">
      <alignment vertical="center" wrapText="1"/>
    </xf>
    <xf numFmtId="0" fontId="0" fillId="0" borderId="4" xfId="0" applyBorder="1" applyAlignment="1">
      <alignment horizontal="right"/>
    </xf>
    <xf numFmtId="0" fontId="33" fillId="2" borderId="12" xfId="0" quotePrefix="1" applyFont="1" applyFill="1" applyBorder="1" applyAlignment="1">
      <alignment vertical="center" wrapText="1"/>
    </xf>
    <xf numFmtId="9" fontId="39" fillId="2" borderId="4" xfId="2" applyFont="1" applyFill="1" applyBorder="1" applyAlignment="1">
      <alignment horizontal="right" vertical="center" wrapText="1"/>
    </xf>
    <xf numFmtId="0" fontId="40" fillId="2" borderId="4" xfId="0" applyFont="1" applyFill="1" applyBorder="1" applyAlignment="1">
      <alignment horizontal="right" vertical="top" wrapText="1"/>
    </xf>
    <xf numFmtId="3" fontId="21" fillId="0" borderId="0" xfId="0" applyNumberFormat="1" applyFont="1" applyAlignment="1">
      <alignment horizontal="right"/>
    </xf>
    <xf numFmtId="4" fontId="48" fillId="0" borderId="4" xfId="0" applyNumberFormat="1" applyFont="1" applyBorder="1" applyAlignment="1">
      <alignment horizontal="center" vertical="center"/>
    </xf>
    <xf numFmtId="0" fontId="35" fillId="0" borderId="4" xfId="0" applyFont="1" applyBorder="1" applyAlignment="1">
      <alignment horizontal="center" vertical="center" wrapText="1"/>
    </xf>
    <xf numFmtId="0" fontId="35" fillId="0" borderId="4" xfId="0" applyFont="1" applyBorder="1" applyAlignment="1">
      <alignment vertical="center" wrapText="1"/>
    </xf>
    <xf numFmtId="3" fontId="21" fillId="0" borderId="4" xfId="0" quotePrefix="1" applyNumberFormat="1" applyFont="1" applyBorder="1" applyAlignment="1">
      <alignment horizontal="center" vertical="center" wrapText="1"/>
    </xf>
    <xf numFmtId="0" fontId="35" fillId="0" borderId="4" xfId="0" quotePrefix="1" applyFont="1" applyBorder="1" applyAlignment="1">
      <alignment horizontal="right" vertical="center" wrapText="1"/>
    </xf>
    <xf numFmtId="4" fontId="35" fillId="2" borderId="4" xfId="0" quotePrefix="1" applyNumberFormat="1" applyFont="1" applyFill="1" applyBorder="1" applyAlignment="1">
      <alignment horizontal="left" vertical="center" wrapText="1"/>
    </xf>
    <xf numFmtId="4" fontId="21" fillId="0" borderId="4" xfId="0" quotePrefix="1" applyNumberFormat="1" applyFont="1" applyBorder="1" applyAlignment="1">
      <alignment horizontal="center" vertical="center" wrapText="1"/>
    </xf>
    <xf numFmtId="0" fontId="35" fillId="2" borderId="4" xfId="0" quotePrefix="1" applyFont="1" applyFill="1" applyBorder="1" applyAlignment="1">
      <alignment vertical="center" wrapText="1"/>
    </xf>
    <xf numFmtId="0" fontId="35" fillId="2" borderId="4" xfId="20" applyFont="1" applyFill="1" applyBorder="1" applyAlignment="1">
      <alignment vertical="center"/>
    </xf>
    <xf numFmtId="3" fontId="35" fillId="2" borderId="4" xfId="0" quotePrefix="1" applyNumberFormat="1" applyFont="1" applyFill="1" applyBorder="1" applyAlignment="1">
      <alignment horizontal="right" vertical="center" wrapText="1"/>
    </xf>
    <xf numFmtId="0" fontId="35" fillId="2" borderId="4" xfId="20" applyFont="1" applyFill="1" applyBorder="1"/>
    <xf numFmtId="4" fontId="35" fillId="2" borderId="4" xfId="0" quotePrefix="1" applyNumberFormat="1" applyFont="1" applyFill="1" applyBorder="1" applyAlignment="1">
      <alignment vertical="center"/>
    </xf>
    <xf numFmtId="0" fontId="35" fillId="2" borderId="4" xfId="13" applyFont="1" applyFill="1" applyBorder="1" applyAlignment="1">
      <alignment horizontal="right" vertical="center" wrapText="1"/>
    </xf>
    <xf numFmtId="3" fontId="35" fillId="2" borderId="4" xfId="11" applyNumberFormat="1" applyFont="1" applyFill="1" applyBorder="1" applyAlignment="1">
      <alignment vertical="center" wrapText="1"/>
    </xf>
    <xf numFmtId="3" fontId="21" fillId="2" borderId="4" xfId="11" applyNumberFormat="1" applyFont="1" applyFill="1" applyBorder="1" applyAlignment="1">
      <alignment vertical="center" wrapText="1"/>
    </xf>
    <xf numFmtId="4" fontId="14" fillId="2" borderId="4" xfId="0" quotePrefix="1" applyNumberFormat="1" applyFont="1" applyFill="1" applyBorder="1" applyAlignment="1">
      <alignment vertical="center"/>
    </xf>
    <xf numFmtId="0" fontId="14" fillId="2" borderId="4" xfId="13" applyFont="1" applyFill="1" applyBorder="1" applyAlignment="1">
      <alignment horizontal="right" vertical="center" wrapText="1"/>
    </xf>
    <xf numFmtId="0" fontId="35" fillId="2" borderId="4" xfId="0" applyFont="1" applyFill="1" applyBorder="1" applyAlignment="1">
      <alignment horizontal="center"/>
    </xf>
    <xf numFmtId="3" fontId="35" fillId="2" borderId="4" xfId="0" applyNumberFormat="1" applyFont="1" applyFill="1" applyBorder="1" applyAlignment="1">
      <alignment horizontal="right" vertical="center" wrapText="1"/>
    </xf>
    <xf numFmtId="4" fontId="21" fillId="0" borderId="4" xfId="0" quotePrefix="1" applyNumberFormat="1" applyFont="1" applyBorder="1" applyAlignment="1">
      <alignment horizontal="left" vertical="top" wrapText="1"/>
    </xf>
    <xf numFmtId="9" fontId="21" fillId="2" borderId="4" xfId="0" quotePrefix="1" applyNumberFormat="1" applyFont="1" applyFill="1" applyBorder="1" applyAlignment="1">
      <alignment horizontal="center" vertical="top" wrapText="1"/>
    </xf>
    <xf numFmtId="9" fontId="21" fillId="2" borderId="4" xfId="0" quotePrefix="1" applyNumberFormat="1" applyFont="1" applyFill="1" applyBorder="1" applyAlignment="1">
      <alignment horizontal="right" vertical="top" wrapText="1"/>
    </xf>
    <xf numFmtId="0" fontId="2" fillId="0" borderId="4" xfId="0" applyFont="1" applyBorder="1" applyAlignment="1">
      <alignment horizontal="right"/>
    </xf>
    <xf numFmtId="4" fontId="35" fillId="0" borderId="4" xfId="0" applyNumberFormat="1" applyFont="1" applyBorder="1" applyAlignment="1">
      <alignment horizontal="right" vertical="center" wrapText="1"/>
    </xf>
    <xf numFmtId="0" fontId="44" fillId="2" borderId="4" xfId="0" applyFont="1" applyFill="1" applyBorder="1" applyAlignment="1">
      <alignment horizontal="center" vertical="center"/>
    </xf>
    <xf numFmtId="4" fontId="35" fillId="2" borderId="4" xfId="0" applyNumberFormat="1" applyFont="1" applyFill="1" applyBorder="1" applyAlignment="1">
      <alignment horizontal="right" vertical="center" wrapText="1"/>
    </xf>
    <xf numFmtId="3" fontId="21" fillId="2" borderId="4" xfId="0" applyNumberFormat="1" applyFont="1" applyFill="1" applyBorder="1" applyAlignment="1">
      <alignment horizontal="right" vertical="center" wrapText="1"/>
    </xf>
    <xf numFmtId="3" fontId="35" fillId="2" borderId="13" xfId="0" applyNumberFormat="1" applyFont="1" applyFill="1" applyBorder="1" applyAlignment="1">
      <alignment horizontal="right" vertical="center" wrapText="1"/>
    </xf>
    <xf numFmtId="3" fontId="44" fillId="0" borderId="4" xfId="14" applyNumberFormat="1" applyFont="1" applyBorder="1" applyAlignment="1">
      <alignment horizontal="right" vertical="center"/>
    </xf>
    <xf numFmtId="0" fontId="49" fillId="0" borderId="4" xfId="0" quotePrefix="1" applyFont="1" applyBorder="1" applyAlignment="1">
      <alignment horizontal="left" vertical="center" wrapText="1"/>
    </xf>
    <xf numFmtId="0" fontId="21" fillId="0" borderId="4" xfId="0" quotePrefix="1" applyFont="1" applyBorder="1" applyAlignment="1">
      <alignment horizontal="left" vertical="center" wrapText="1"/>
    </xf>
    <xf numFmtId="0" fontId="13" fillId="2" borderId="4" xfId="0" quotePrefix="1" applyFont="1" applyFill="1" applyBorder="1" applyAlignment="1">
      <alignment horizontal="left" vertical="top" wrapText="1"/>
    </xf>
    <xf numFmtId="0" fontId="12" fillId="0" borderId="11" xfId="0" applyFont="1" applyBorder="1" applyAlignment="1">
      <alignment horizontal="center" vertical="center" wrapText="1"/>
    </xf>
    <xf numFmtId="4" fontId="35" fillId="0" borderId="0" xfId="0" applyNumberFormat="1" applyFont="1" applyAlignment="1">
      <alignment horizontal="center"/>
    </xf>
    <xf numFmtId="0" fontId="13" fillId="0" borderId="0" xfId="0" quotePrefix="1" applyFont="1" applyBorder="1" applyAlignment="1">
      <alignment horizontal="right" vertical="top" wrapText="1"/>
    </xf>
    <xf numFmtId="0" fontId="13" fillId="0" borderId="0" xfId="0" quotePrefix="1" applyFont="1" applyBorder="1" applyAlignment="1">
      <alignment horizontal="center" vertical="top" wrapText="1"/>
    </xf>
    <xf numFmtId="3" fontId="13" fillId="0" borderId="0" xfId="0" quotePrefix="1" applyNumberFormat="1" applyFont="1" applyBorder="1" applyAlignment="1">
      <alignment vertical="center" wrapText="1"/>
    </xf>
    <xf numFmtId="0" fontId="13" fillId="0" borderId="5" xfId="0" quotePrefix="1" applyFont="1" applyBorder="1" applyAlignment="1">
      <alignment vertical="center" wrapText="1"/>
    </xf>
    <xf numFmtId="0" fontId="13" fillId="0" borderId="1" xfId="0" quotePrefix="1" applyFont="1" applyBorder="1" applyAlignment="1">
      <alignment vertical="center" wrapText="1"/>
    </xf>
    <xf numFmtId="0" fontId="14" fillId="0" borderId="1" xfId="0" applyFont="1" applyBorder="1"/>
    <xf numFmtId="49" fontId="21" fillId="0" borderId="4" xfId="0" quotePrefix="1" applyNumberFormat="1" applyFont="1" applyBorder="1" applyAlignment="1">
      <alignment horizontal="center" vertical="top"/>
    </xf>
    <xf numFmtId="0" fontId="35" fillId="0" borderId="4" xfId="0" applyFont="1" applyBorder="1" applyAlignment="1">
      <alignment horizontal="left" vertical="top"/>
    </xf>
    <xf numFmtId="167" fontId="21" fillId="0" borderId="4" xfId="0" quotePrefix="1" applyNumberFormat="1" applyFont="1" applyBorder="1" applyAlignment="1">
      <alignment horizontal="center" vertical="top"/>
    </xf>
    <xf numFmtId="0" fontId="42" fillId="0" borderId="5" xfId="0" applyFont="1" applyBorder="1"/>
    <xf numFmtId="0" fontId="42" fillId="2" borderId="5" xfId="0" applyFont="1" applyFill="1" applyBorder="1"/>
    <xf numFmtId="0" fontId="42" fillId="2" borderId="5" xfId="0" applyFont="1" applyFill="1" applyBorder="1" applyAlignment="1">
      <alignment horizontal="center" vertical="center"/>
    </xf>
    <xf numFmtId="0" fontId="35" fillId="0" borderId="5" xfId="0" applyFont="1" applyBorder="1" applyAlignment="1">
      <alignment horizontal="center"/>
    </xf>
    <xf numFmtId="0" fontId="42" fillId="0" borderId="5" xfId="0" applyFont="1" applyBorder="1" applyAlignment="1">
      <alignment horizontal="right"/>
    </xf>
    <xf numFmtId="9" fontId="21" fillId="0" borderId="4" xfId="0" applyNumberFormat="1" applyFont="1" applyBorder="1" applyAlignment="1">
      <alignment horizontal="center" vertical="center" wrapText="1"/>
    </xf>
    <xf numFmtId="0" fontId="35" fillId="2" borderId="4" xfId="0" quotePrefix="1" applyFont="1" applyFill="1" applyBorder="1" applyAlignment="1">
      <alignment horizontal="left" vertical="center" wrapText="1"/>
    </xf>
    <xf numFmtId="0" fontId="13" fillId="2" borderId="4" xfId="0" quotePrefix="1" applyFont="1" applyFill="1" applyBorder="1" applyAlignment="1">
      <alignment horizontal="left" vertical="top" wrapText="1"/>
    </xf>
    <xf numFmtId="0" fontId="13" fillId="2" borderId="2" xfId="0" quotePrefix="1" applyFont="1" applyFill="1" applyBorder="1" applyAlignment="1">
      <alignment horizontal="left" vertical="top" wrapText="1"/>
    </xf>
    <xf numFmtId="0" fontId="13" fillId="2" borderId="5" xfId="0" quotePrefix="1" applyFont="1" applyFill="1" applyBorder="1" applyAlignment="1">
      <alignment horizontal="left" vertical="top" wrapText="1"/>
    </xf>
    <xf numFmtId="4" fontId="35" fillId="2" borderId="12" xfId="0" applyNumberFormat="1" applyFont="1" applyFill="1" applyBorder="1" applyAlignment="1">
      <alignment vertical="center"/>
    </xf>
    <xf numFmtId="3" fontId="39" fillId="2" borderId="13" xfId="0" applyNumberFormat="1" applyFont="1" applyFill="1" applyBorder="1" applyAlignment="1">
      <alignment horizontal="right"/>
    </xf>
    <xf numFmtId="3" fontId="21" fillId="0" borderId="0" xfId="15" applyNumberFormat="1" applyFont="1" applyFill="1" applyBorder="1" applyAlignment="1">
      <alignment horizontal="right" vertical="center" wrapText="1"/>
    </xf>
    <xf numFmtId="9" fontId="21" fillId="2" borderId="9" xfId="0" quotePrefix="1" applyNumberFormat="1" applyFont="1" applyFill="1" applyBorder="1" applyAlignment="1">
      <alignment horizontal="center" vertical="center" wrapText="1"/>
    </xf>
    <xf numFmtId="9" fontId="21" fillId="2" borderId="10" xfId="0" quotePrefix="1" applyNumberFormat="1" applyFont="1" applyFill="1" applyBorder="1" applyAlignment="1">
      <alignment horizontal="center" vertical="center" wrapText="1"/>
    </xf>
    <xf numFmtId="9" fontId="21" fillId="2" borderId="11" xfId="0" quotePrefix="1" applyNumberFormat="1" applyFont="1" applyFill="1" applyBorder="1" applyAlignment="1">
      <alignment horizontal="center" vertical="center" wrapText="1"/>
    </xf>
    <xf numFmtId="9" fontId="21" fillId="2" borderId="12" xfId="0" quotePrefix="1" applyNumberFormat="1" applyFont="1" applyFill="1" applyBorder="1" applyAlignment="1">
      <alignment horizontal="center" vertical="center" wrapText="1"/>
    </xf>
    <xf numFmtId="9" fontId="21" fillId="2" borderId="0" xfId="0" quotePrefix="1" applyNumberFormat="1" applyFont="1" applyFill="1" applyAlignment="1">
      <alignment horizontal="center" vertical="center" wrapText="1"/>
    </xf>
    <xf numFmtId="9" fontId="21" fillId="2" borderId="13" xfId="0" quotePrefix="1" applyNumberFormat="1" applyFont="1" applyFill="1" applyBorder="1" applyAlignment="1">
      <alignment horizontal="center" vertical="center" wrapText="1"/>
    </xf>
    <xf numFmtId="9" fontId="21" fillId="2" borderId="14" xfId="0" quotePrefix="1" applyNumberFormat="1" applyFont="1" applyFill="1" applyBorder="1" applyAlignment="1">
      <alignment horizontal="center" vertical="center" wrapText="1"/>
    </xf>
    <xf numFmtId="9" fontId="21" fillId="2" borderId="1" xfId="0" quotePrefix="1" applyNumberFormat="1" applyFont="1" applyFill="1" applyBorder="1" applyAlignment="1">
      <alignment horizontal="center" vertical="center" wrapText="1"/>
    </xf>
    <xf numFmtId="9" fontId="21" fillId="2" borderId="15" xfId="0" quotePrefix="1" applyNumberFormat="1" applyFont="1" applyFill="1" applyBorder="1" applyAlignment="1">
      <alignment horizontal="center" vertical="center" wrapText="1"/>
    </xf>
    <xf numFmtId="0" fontId="36" fillId="2" borderId="4" xfId="0" quotePrefix="1" applyFont="1" applyFill="1" applyBorder="1" applyAlignment="1">
      <alignment horizontal="left" vertical="top" wrapText="1"/>
    </xf>
    <xf numFmtId="0" fontId="36" fillId="2" borderId="4" xfId="0" quotePrefix="1" applyFont="1" applyFill="1" applyBorder="1" applyAlignment="1">
      <alignment horizontal="left" vertical="center" wrapText="1"/>
    </xf>
    <xf numFmtId="0" fontId="35" fillId="2" borderId="4" xfId="0" quotePrefix="1" applyFont="1" applyFill="1" applyBorder="1" applyAlignment="1">
      <alignment horizontal="left" vertical="center" wrapText="1"/>
    </xf>
    <xf numFmtId="0" fontId="47" fillId="0" borderId="9" xfId="0" quotePrefix="1" applyFont="1" applyBorder="1" applyAlignment="1">
      <alignment horizontal="left" vertical="center" wrapText="1"/>
    </xf>
    <xf numFmtId="0" fontId="47" fillId="0" borderId="10" xfId="0" quotePrefix="1" applyFont="1" applyBorder="1" applyAlignment="1">
      <alignment horizontal="left" vertical="center" wrapText="1"/>
    </xf>
    <xf numFmtId="0" fontId="47" fillId="0" borderId="11" xfId="0" quotePrefix="1" applyFont="1" applyBorder="1" applyAlignment="1">
      <alignment horizontal="left" vertical="center" wrapText="1"/>
    </xf>
    <xf numFmtId="0" fontId="47" fillId="0" borderId="12" xfId="0" quotePrefix="1" applyFont="1" applyBorder="1" applyAlignment="1">
      <alignment horizontal="left" vertical="center" wrapText="1"/>
    </xf>
    <xf numFmtId="0" fontId="47" fillId="0" borderId="0" xfId="0" quotePrefix="1" applyFont="1" applyAlignment="1">
      <alignment horizontal="left" vertical="center" wrapText="1"/>
    </xf>
    <xf numFmtId="0" fontId="47" fillId="0" borderId="13" xfId="0" quotePrefix="1" applyFont="1" applyBorder="1" applyAlignment="1">
      <alignment horizontal="left" vertical="center" wrapText="1"/>
    </xf>
    <xf numFmtId="0" fontId="47" fillId="0" borderId="14" xfId="0" quotePrefix="1" applyFont="1" applyBorder="1" applyAlignment="1">
      <alignment horizontal="left" vertical="center" wrapText="1"/>
    </xf>
    <xf numFmtId="0" fontId="47" fillId="0" borderId="1" xfId="0" quotePrefix="1" applyFont="1" applyBorder="1" applyAlignment="1">
      <alignment horizontal="left" vertical="center" wrapText="1"/>
    </xf>
    <xf numFmtId="0" fontId="47" fillId="0" borderId="15" xfId="0" quotePrefix="1" applyFont="1" applyBorder="1" applyAlignment="1">
      <alignment horizontal="left" vertical="center" wrapText="1"/>
    </xf>
    <xf numFmtId="0" fontId="35" fillId="2" borderId="4" xfId="0" quotePrefix="1" applyFont="1" applyFill="1" applyBorder="1" applyAlignment="1">
      <alignment horizontal="left" vertical="top" wrapText="1"/>
    </xf>
    <xf numFmtId="0" fontId="39" fillId="0" borderId="4" xfId="3" quotePrefix="1" applyFont="1" applyBorder="1" applyAlignment="1">
      <alignment horizontal="left" vertical="center" wrapText="1"/>
    </xf>
    <xf numFmtId="0" fontId="21" fillId="0" borderId="3" xfId="0" applyFont="1" applyBorder="1" applyAlignment="1">
      <alignment horizontal="center" vertical="center" wrapText="1"/>
    </xf>
    <xf numFmtId="0" fontId="21" fillId="0" borderId="2" xfId="0" quotePrefix="1" applyFont="1" applyBorder="1" applyAlignment="1">
      <alignment horizontal="left" vertical="top" wrapText="1"/>
    </xf>
    <xf numFmtId="0" fontId="21" fillId="0" borderId="4" xfId="0" quotePrefix="1" applyFont="1" applyBorder="1" applyAlignment="1">
      <alignment horizontal="left" vertical="top" wrapText="1"/>
    </xf>
    <xf numFmtId="0" fontId="13" fillId="2" borderId="2" xfId="0" quotePrefix="1" applyFont="1" applyFill="1" applyBorder="1" applyAlignment="1">
      <alignment horizontal="left" vertical="top" wrapText="1"/>
    </xf>
    <xf numFmtId="0" fontId="13" fillId="2" borderId="4" xfId="0" quotePrefix="1" applyFont="1" applyFill="1" applyBorder="1" applyAlignment="1">
      <alignment horizontal="left" vertical="top" wrapText="1"/>
    </xf>
    <xf numFmtId="0" fontId="36" fillId="2" borderId="4" xfId="0" quotePrefix="1" applyFont="1" applyFill="1" applyBorder="1" applyAlignment="1">
      <alignment vertical="top" wrapText="1"/>
    </xf>
    <xf numFmtId="3" fontId="21" fillId="2" borderId="9" xfId="0" quotePrefix="1" applyNumberFormat="1" applyFont="1" applyFill="1" applyBorder="1" applyAlignment="1">
      <alignment horizontal="center" vertical="center" wrapText="1"/>
    </xf>
    <xf numFmtId="3" fontId="21" fillId="2" borderId="10" xfId="0" applyNumberFormat="1" applyFont="1" applyFill="1" applyBorder="1" applyAlignment="1">
      <alignment horizontal="center" vertical="center" wrapText="1"/>
    </xf>
    <xf numFmtId="3" fontId="21" fillId="2" borderId="11" xfId="0" applyNumberFormat="1" applyFont="1" applyFill="1" applyBorder="1" applyAlignment="1">
      <alignment horizontal="center" vertical="center" wrapText="1"/>
    </xf>
    <xf numFmtId="3" fontId="21" fillId="2" borderId="12" xfId="0" applyNumberFormat="1" applyFont="1" applyFill="1" applyBorder="1" applyAlignment="1">
      <alignment horizontal="center" vertical="center" wrapText="1"/>
    </xf>
    <xf numFmtId="3" fontId="21" fillId="2" borderId="0" xfId="0" applyNumberFormat="1" applyFont="1" applyFill="1" applyAlignment="1">
      <alignment horizontal="center" vertical="center" wrapText="1"/>
    </xf>
    <xf numFmtId="3" fontId="21" fillId="2" borderId="13" xfId="0" applyNumberFormat="1" applyFont="1" applyFill="1" applyBorder="1" applyAlignment="1">
      <alignment horizontal="center" vertical="center" wrapText="1"/>
    </xf>
    <xf numFmtId="3" fontId="21" fillId="2" borderId="14" xfId="0" applyNumberFormat="1" applyFont="1" applyFill="1" applyBorder="1" applyAlignment="1">
      <alignment horizontal="center" vertical="center" wrapText="1"/>
    </xf>
    <xf numFmtId="3" fontId="21" fillId="2" borderId="1" xfId="0" applyNumberFormat="1" applyFont="1" applyFill="1" applyBorder="1" applyAlignment="1">
      <alignment horizontal="center" vertical="center" wrapText="1"/>
    </xf>
    <xf numFmtId="3" fontId="21" fillId="2" borderId="15" xfId="0" applyNumberFormat="1" applyFont="1" applyFill="1" applyBorder="1" applyAlignment="1">
      <alignment horizontal="center" vertical="center" wrapText="1"/>
    </xf>
    <xf numFmtId="0" fontId="36" fillId="0" borderId="4" xfId="0" quotePrefix="1" applyFont="1" applyBorder="1" applyAlignment="1">
      <alignment horizontal="left" vertical="top" wrapText="1"/>
    </xf>
    <xf numFmtId="0" fontId="39" fillId="2" borderId="4" xfId="0" quotePrefix="1" applyFont="1" applyFill="1" applyBorder="1" applyAlignment="1">
      <alignment horizontal="left" vertical="center" wrapText="1"/>
    </xf>
    <xf numFmtId="9" fontId="21" fillId="0" borderId="3" xfId="0" applyNumberFormat="1" applyFont="1" applyBorder="1" applyAlignment="1">
      <alignment horizontal="center" vertical="center" wrapText="1"/>
    </xf>
    <xf numFmtId="4" fontId="35" fillId="2" borderId="4" xfId="0" quotePrefix="1" applyNumberFormat="1" applyFont="1" applyFill="1" applyBorder="1" applyAlignment="1">
      <alignment horizontal="left" vertical="top" wrapText="1"/>
    </xf>
    <xf numFmtId="0" fontId="41" fillId="2" borderId="4" xfId="0" quotePrefix="1" applyFont="1" applyFill="1" applyBorder="1" applyAlignment="1">
      <alignment horizontal="left" vertical="top" wrapText="1"/>
    </xf>
    <xf numFmtId="0" fontId="35" fillId="0" borderId="4" xfId="0" applyFont="1" applyBorder="1" applyAlignment="1">
      <alignment horizontal="center" vertical="center" wrapText="1"/>
    </xf>
    <xf numFmtId="0" fontId="41" fillId="2" borderId="4" xfId="0" quotePrefix="1" applyFont="1" applyFill="1" applyBorder="1" applyAlignment="1">
      <alignment horizontal="left" vertical="center" wrapText="1"/>
    </xf>
    <xf numFmtId="0" fontId="14" fillId="2" borderId="4" xfId="0" quotePrefix="1" applyFont="1" applyFill="1" applyBorder="1" applyAlignment="1">
      <alignment horizontal="left" vertical="center" wrapText="1"/>
    </xf>
    <xf numFmtId="0" fontId="35" fillId="0" borderId="4" xfId="0" quotePrefix="1" applyFont="1" applyBorder="1" applyAlignment="1">
      <alignment horizontal="left" wrapText="1"/>
    </xf>
    <xf numFmtId="0" fontId="36" fillId="0" borderId="4" xfId="0" quotePrefix="1" applyFont="1" applyBorder="1" applyAlignment="1">
      <alignment horizontal="left" vertical="center" wrapText="1"/>
    </xf>
    <xf numFmtId="4" fontId="36" fillId="0" borderId="4" xfId="0" quotePrefix="1" applyNumberFormat="1" applyFont="1" applyBorder="1" applyAlignment="1">
      <alignment horizontal="left" vertical="top" wrapText="1"/>
    </xf>
    <xf numFmtId="0" fontId="35" fillId="0" borderId="4" xfId="0" quotePrefix="1" applyFont="1" applyBorder="1" applyAlignment="1">
      <alignment horizontal="left" vertical="center" wrapText="1"/>
    </xf>
    <xf numFmtId="0" fontId="36" fillId="0" borderId="4" xfId="0" applyFont="1" applyBorder="1" applyAlignment="1">
      <alignment horizontal="left" vertical="center" wrapText="1"/>
    </xf>
    <xf numFmtId="0" fontId="41" fillId="0" borderId="4" xfId="0" quotePrefix="1" applyFont="1" applyBorder="1" applyAlignment="1">
      <alignment horizontal="left" vertical="top" wrapText="1"/>
    </xf>
    <xf numFmtId="0" fontId="35" fillId="0" borderId="4" xfId="0" quotePrefix="1" applyFont="1" applyBorder="1" applyAlignment="1">
      <alignment horizontal="left" vertical="top" wrapText="1"/>
    </xf>
    <xf numFmtId="0" fontId="21" fillId="2" borderId="2" xfId="0" quotePrefix="1" applyFont="1" applyFill="1" applyBorder="1" applyAlignment="1">
      <alignment horizontal="left" vertical="top" wrapText="1"/>
    </xf>
    <xf numFmtId="0" fontId="21" fillId="2" borderId="4" xfId="0" quotePrefix="1" applyFont="1" applyFill="1" applyBorder="1" applyAlignment="1">
      <alignment horizontal="left" vertical="top" wrapText="1"/>
    </xf>
    <xf numFmtId="4" fontId="35" fillId="2" borderId="4" xfId="0" quotePrefix="1" applyNumberFormat="1" applyFont="1" applyFill="1" applyBorder="1" applyAlignment="1">
      <alignment horizontal="left" vertical="center" wrapText="1"/>
    </xf>
    <xf numFmtId="4" fontId="36" fillId="0" borderId="4" xfId="0" quotePrefix="1" applyNumberFormat="1" applyFont="1" applyBorder="1" applyAlignment="1">
      <alignment horizontal="left" vertical="center" wrapText="1"/>
    </xf>
    <xf numFmtId="4" fontId="35" fillId="0" borderId="4" xfId="0" quotePrefix="1" applyNumberFormat="1" applyFont="1" applyBorder="1" applyAlignment="1">
      <alignment horizontal="left" vertical="top" wrapText="1"/>
    </xf>
    <xf numFmtId="0" fontId="14" fillId="2" borderId="4" xfId="0" quotePrefix="1" applyFont="1" applyFill="1" applyBorder="1" applyAlignment="1">
      <alignment horizontal="left" vertical="top" wrapText="1"/>
    </xf>
    <xf numFmtId="0" fontId="15" fillId="2" borderId="4" xfId="0" quotePrefix="1" applyFont="1" applyFill="1" applyBorder="1" applyAlignment="1">
      <alignment horizontal="left" vertical="center" wrapText="1"/>
    </xf>
    <xf numFmtId="0" fontId="15" fillId="2" borderId="4" xfId="0" quotePrefix="1" applyFont="1" applyFill="1" applyBorder="1" applyAlignment="1">
      <alignment horizontal="left" vertical="top" wrapText="1"/>
    </xf>
    <xf numFmtId="3" fontId="33" fillId="2" borderId="9" xfId="0" applyNumberFormat="1" applyFont="1" applyFill="1" applyBorder="1" applyAlignment="1">
      <alignment horizontal="center" vertical="center"/>
    </xf>
    <xf numFmtId="3" fontId="33" fillId="2" borderId="10" xfId="0" applyNumberFormat="1" applyFont="1" applyFill="1" applyBorder="1" applyAlignment="1">
      <alignment horizontal="center" vertical="center"/>
    </xf>
    <xf numFmtId="3" fontId="33" fillId="2" borderId="11" xfId="0" applyNumberFormat="1" applyFont="1" applyFill="1" applyBorder="1" applyAlignment="1">
      <alignment horizontal="center" vertical="center"/>
    </xf>
    <xf numFmtId="3" fontId="33" fillId="2" borderId="12" xfId="0" applyNumberFormat="1" applyFont="1" applyFill="1" applyBorder="1" applyAlignment="1">
      <alignment horizontal="center" vertical="center"/>
    </xf>
    <xf numFmtId="3" fontId="33" fillId="2" borderId="0" xfId="0" applyNumberFormat="1" applyFont="1" applyFill="1" applyAlignment="1">
      <alignment horizontal="center" vertical="center"/>
    </xf>
    <xf numFmtId="3" fontId="33" fillId="2" borderId="13" xfId="0" applyNumberFormat="1" applyFont="1" applyFill="1" applyBorder="1" applyAlignment="1">
      <alignment horizontal="center" vertical="center"/>
    </xf>
    <xf numFmtId="3" fontId="33" fillId="2" borderId="14" xfId="0" applyNumberFormat="1" applyFont="1" applyFill="1" applyBorder="1" applyAlignment="1">
      <alignment horizontal="center" vertical="center"/>
    </xf>
    <xf numFmtId="3" fontId="33" fillId="2" borderId="1" xfId="0" applyNumberFormat="1" applyFont="1" applyFill="1" applyBorder="1" applyAlignment="1">
      <alignment horizontal="center" vertical="center"/>
    </xf>
    <xf numFmtId="3" fontId="33" fillId="2" borderId="15" xfId="0" applyNumberFormat="1" applyFont="1" applyFill="1" applyBorder="1" applyAlignment="1">
      <alignment horizontal="center" vertical="center"/>
    </xf>
    <xf numFmtId="0" fontId="21" fillId="0" borderId="9" xfId="0" quotePrefix="1" applyFont="1" applyBorder="1" applyAlignment="1">
      <alignment horizontal="center" vertical="center" wrapText="1"/>
    </xf>
    <xf numFmtId="0" fontId="21" fillId="0" borderId="10" xfId="0" quotePrefix="1" applyFont="1" applyBorder="1" applyAlignment="1">
      <alignment horizontal="center" vertical="center" wrapText="1"/>
    </xf>
    <xf numFmtId="0" fontId="21" fillId="0" borderId="11" xfId="0" quotePrefix="1" applyFont="1" applyBorder="1" applyAlignment="1">
      <alignment horizontal="center" vertical="center" wrapText="1"/>
    </xf>
    <xf numFmtId="0" fontId="21" fillId="0" borderId="14" xfId="0" quotePrefix="1" applyFont="1" applyBorder="1" applyAlignment="1">
      <alignment horizontal="center" vertical="center" wrapText="1"/>
    </xf>
    <xf numFmtId="0" fontId="21" fillId="0" borderId="1" xfId="0" quotePrefix="1" applyFont="1" applyBorder="1" applyAlignment="1">
      <alignment horizontal="center" vertical="center" wrapText="1"/>
    </xf>
    <xf numFmtId="0" fontId="21" fillId="0" borderId="15" xfId="0" quotePrefix="1" applyFont="1" applyBorder="1" applyAlignment="1">
      <alignment horizontal="center" vertical="center" wrapText="1"/>
    </xf>
    <xf numFmtId="0" fontId="15" fillId="0" borderId="4" xfId="0" quotePrefix="1" applyFont="1" applyBorder="1" applyAlignment="1">
      <alignment horizontal="left" vertical="top" wrapText="1"/>
    </xf>
    <xf numFmtId="0" fontId="6" fillId="2" borderId="6" xfId="0" quotePrefix="1" applyFont="1" applyFill="1" applyBorder="1" applyAlignment="1">
      <alignment horizontal="right" vertical="top" wrapText="1"/>
    </xf>
    <xf numFmtId="0" fontId="6" fillId="2" borderId="7" xfId="0" quotePrefix="1" applyFont="1" applyFill="1" applyBorder="1" applyAlignment="1">
      <alignment horizontal="right" vertical="top" wrapText="1"/>
    </xf>
    <xf numFmtId="0" fontId="6" fillId="2" borderId="8" xfId="0" quotePrefix="1" applyFont="1" applyFill="1" applyBorder="1" applyAlignment="1">
      <alignment horizontal="right" vertical="top" wrapText="1"/>
    </xf>
    <xf numFmtId="9" fontId="21" fillId="0" borderId="3" xfId="0" quotePrefix="1" applyNumberFormat="1" applyFont="1" applyBorder="1" applyAlignment="1">
      <alignment horizontal="center" vertical="center" wrapText="1"/>
    </xf>
    <xf numFmtId="0" fontId="13" fillId="0" borderId="2" xfId="0" quotePrefix="1" applyFont="1" applyBorder="1" applyAlignment="1">
      <alignment horizontal="left" vertical="top" wrapText="1"/>
    </xf>
    <xf numFmtId="0" fontId="13" fillId="0" borderId="4" xfId="0" quotePrefix="1" applyFont="1" applyBorder="1" applyAlignment="1">
      <alignment horizontal="left" vertical="top" wrapText="1"/>
    </xf>
    <xf numFmtId="0" fontId="6" fillId="0" borderId="2" xfId="0" quotePrefix="1" applyFont="1" applyBorder="1" applyAlignment="1">
      <alignment horizontal="left" vertical="top" wrapText="1"/>
    </xf>
    <xf numFmtId="0" fontId="6" fillId="0" borderId="4" xfId="0" quotePrefix="1" applyFont="1" applyBorder="1" applyAlignment="1">
      <alignment horizontal="left" vertical="top" wrapText="1"/>
    </xf>
    <xf numFmtId="0" fontId="13" fillId="0" borderId="3" xfId="0" quotePrefix="1" applyFont="1" applyBorder="1" applyAlignment="1">
      <alignment horizontal="right" vertical="top" wrapText="1"/>
    </xf>
    <xf numFmtId="0" fontId="15" fillId="0" borderId="4" xfId="0" quotePrefix="1" applyFont="1" applyBorder="1" applyAlignment="1">
      <alignment horizontal="left" vertical="center" wrapText="1"/>
    </xf>
    <xf numFmtId="0" fontId="13" fillId="0" borderId="2" xfId="0" quotePrefix="1" applyFont="1" applyBorder="1" applyAlignment="1">
      <alignment horizontal="center" vertical="center" wrapText="1"/>
    </xf>
    <xf numFmtId="0" fontId="13" fillId="0" borderId="5" xfId="0" quotePrefix="1" applyFont="1" applyBorder="1" applyAlignment="1">
      <alignment horizontal="center" vertical="center" wrapText="1"/>
    </xf>
    <xf numFmtId="4" fontId="15" fillId="0" borderId="4" xfId="0" quotePrefix="1" applyNumberFormat="1" applyFont="1" applyBorder="1" applyAlignment="1">
      <alignment horizontal="left" vertical="top" wrapText="1"/>
    </xf>
    <xf numFmtId="0" fontId="29" fillId="2" borderId="2" xfId="0" quotePrefix="1" applyFont="1" applyFill="1" applyBorder="1" applyAlignment="1">
      <alignment horizontal="left" vertical="top" wrapText="1"/>
    </xf>
    <xf numFmtId="0" fontId="29" fillId="2" borderId="4" xfId="0" quotePrefix="1" applyFont="1" applyFill="1" applyBorder="1" applyAlignment="1">
      <alignment horizontal="left" vertical="top" wrapText="1"/>
    </xf>
    <xf numFmtId="0" fontId="22" fillId="0" borderId="4" xfId="0" quotePrefix="1" applyFont="1" applyBorder="1" applyAlignment="1">
      <alignment horizontal="left" vertical="top" wrapText="1"/>
    </xf>
    <xf numFmtId="0" fontId="31" fillId="2" borderId="4" xfId="0" quotePrefix="1" applyFont="1" applyFill="1" applyBorder="1" applyAlignment="1">
      <alignment horizontal="left" vertical="top" wrapText="1"/>
    </xf>
    <xf numFmtId="0" fontId="30" fillId="2" borderId="4" xfId="0" applyFont="1" applyFill="1" applyBorder="1" applyAlignment="1">
      <alignment horizontal="center" vertical="top"/>
    </xf>
    <xf numFmtId="3" fontId="6" fillId="2" borderId="3" xfId="0" applyNumberFormat="1" applyFont="1" applyFill="1" applyBorder="1" applyAlignment="1">
      <alignment horizontal="center" vertical="center" wrapText="1"/>
    </xf>
    <xf numFmtId="3" fontId="13" fillId="0" borderId="3" xfId="0" applyNumberFormat="1" applyFont="1" applyBorder="1" applyAlignment="1">
      <alignment horizontal="center" vertical="center" wrapText="1"/>
    </xf>
    <xf numFmtId="0" fontId="14" fillId="0" borderId="4" xfId="0" quotePrefix="1" applyFont="1" applyBorder="1" applyAlignment="1">
      <alignment horizontal="left" vertical="top" wrapText="1"/>
    </xf>
    <xf numFmtId="0" fontId="15" fillId="2" borderId="4" xfId="0" applyFont="1" applyFill="1" applyBorder="1" applyAlignment="1">
      <alignment horizontal="left" vertical="top" wrapText="1"/>
    </xf>
    <xf numFmtId="0" fontId="16" fillId="2" borderId="4" xfId="0" applyFont="1" applyFill="1" applyBorder="1" applyAlignment="1">
      <alignment horizontal="left" vertical="top" wrapText="1"/>
    </xf>
    <xf numFmtId="0" fontId="17" fillId="0" borderId="4" xfId="0" applyFont="1" applyBorder="1" applyAlignment="1">
      <alignment horizontal="left" vertical="top" wrapText="1"/>
    </xf>
    <xf numFmtId="3" fontId="13" fillId="2" borderId="3" xfId="0" applyNumberFormat="1" applyFont="1" applyFill="1" applyBorder="1" applyAlignment="1">
      <alignment horizontal="center" vertical="center" wrapText="1"/>
    </xf>
    <xf numFmtId="0" fontId="13" fillId="0" borderId="4" xfId="0" quotePrefix="1" applyFont="1" applyBorder="1" applyAlignment="1">
      <alignment horizontal="center" vertical="center" wrapText="1"/>
    </xf>
    <xf numFmtId="3" fontId="13" fillId="0" borderId="2" xfId="0" quotePrefix="1" applyNumberFormat="1" applyFont="1" applyBorder="1" applyAlignment="1">
      <alignment horizontal="center" vertical="center" wrapText="1"/>
    </xf>
    <xf numFmtId="3" fontId="13" fillId="0" borderId="5" xfId="0" quotePrefix="1" applyNumberFormat="1" applyFont="1" applyBorder="1" applyAlignment="1">
      <alignment horizontal="center" vertical="center" wrapText="1"/>
    </xf>
    <xf numFmtId="3" fontId="13" fillId="2" borderId="2" xfId="0" quotePrefix="1" applyNumberFormat="1" applyFont="1" applyFill="1" applyBorder="1" applyAlignment="1">
      <alignment horizontal="center" vertical="center" wrapText="1"/>
    </xf>
    <xf numFmtId="3" fontId="13" fillId="2" borderId="5" xfId="0" quotePrefix="1" applyNumberFormat="1" applyFont="1" applyFill="1" applyBorder="1" applyAlignment="1">
      <alignment horizontal="center" vertical="center" wrapText="1"/>
    </xf>
    <xf numFmtId="0" fontId="22" fillId="0" borderId="4" xfId="0" applyFont="1" applyBorder="1" applyAlignment="1">
      <alignment horizontal="left" vertical="center" wrapText="1"/>
    </xf>
    <xf numFmtId="3" fontId="21" fillId="2" borderId="3" xfId="0" applyNumberFormat="1" applyFont="1" applyFill="1" applyBorder="1" applyAlignment="1">
      <alignment horizontal="center" vertical="center" wrapText="1"/>
    </xf>
    <xf numFmtId="0" fontId="41" fillId="0" borderId="4" xfId="0" quotePrefix="1" applyFont="1" applyBorder="1" applyAlignment="1">
      <alignment horizontal="left" vertical="center" wrapText="1"/>
    </xf>
    <xf numFmtId="0" fontId="21" fillId="0" borderId="12" xfId="0" quotePrefix="1" applyFont="1" applyBorder="1" applyAlignment="1">
      <alignment horizontal="center" vertical="center" wrapText="1"/>
    </xf>
    <xf numFmtId="0" fontId="21" fillId="0" borderId="0" xfId="0" quotePrefix="1" applyFont="1" applyAlignment="1">
      <alignment horizontal="center" vertical="center" wrapText="1"/>
    </xf>
    <xf numFmtId="0" fontId="21" fillId="0" borderId="13" xfId="0" quotePrefix="1" applyFont="1" applyBorder="1" applyAlignment="1">
      <alignment horizontal="center" vertical="center" wrapText="1"/>
    </xf>
    <xf numFmtId="0" fontId="37" fillId="0" borderId="4" xfId="0" quotePrefix="1" applyFont="1" applyBorder="1" applyAlignment="1">
      <alignment horizontal="left" vertical="center" wrapText="1"/>
    </xf>
    <xf numFmtId="0" fontId="39" fillId="2" borderId="4" xfId="3" quotePrefix="1" applyFont="1" applyFill="1" applyBorder="1" applyAlignment="1">
      <alignment horizontal="left" vertical="center" wrapText="1"/>
    </xf>
    <xf numFmtId="4" fontId="15" fillId="0" borderId="4" xfId="0" quotePrefix="1" applyNumberFormat="1" applyFont="1" applyBorder="1" applyAlignment="1">
      <alignment horizontal="left" vertical="center" wrapText="1"/>
    </xf>
    <xf numFmtId="0" fontId="14" fillId="0" borderId="4" xfId="0" applyFont="1" applyBorder="1" applyAlignment="1">
      <alignment horizontal="left" vertical="top" wrapText="1"/>
    </xf>
    <xf numFmtId="0" fontId="12" fillId="3" borderId="6"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23" fillId="0" borderId="0" xfId="0" applyFont="1" applyAlignment="1">
      <alignment horizontal="center" vertical="top"/>
    </xf>
    <xf numFmtId="0" fontId="7" fillId="0" borderId="0" xfId="0" applyFont="1" applyAlignment="1">
      <alignment vertical="center"/>
    </xf>
    <xf numFmtId="0" fontId="26" fillId="0" borderId="0" xfId="0" applyFont="1" applyAlignment="1">
      <alignment horizontal="left"/>
    </xf>
    <xf numFmtId="0" fontId="26" fillId="2" borderId="0" xfId="0" applyFont="1" applyFill="1" applyAlignment="1">
      <alignment horizontal="left"/>
    </xf>
    <xf numFmtId="3" fontId="26" fillId="0" borderId="0" xfId="0" applyNumberFormat="1" applyFont="1" applyAlignment="1">
      <alignment horizontal="right"/>
    </xf>
    <xf numFmtId="3" fontId="26" fillId="2" borderId="0" xfId="0" applyNumberFormat="1" applyFont="1" applyFill="1" applyAlignment="1">
      <alignment horizontal="right"/>
    </xf>
    <xf numFmtId="3" fontId="6" fillId="0" borderId="0" xfId="0" applyNumberFormat="1" applyFont="1" applyAlignment="1">
      <alignment horizontal="right"/>
    </xf>
    <xf numFmtId="0" fontId="24" fillId="0" borderId="0" xfId="0" applyFont="1" applyAlignment="1">
      <alignment horizontal="center" vertical="top"/>
    </xf>
    <xf numFmtId="0" fontId="23" fillId="0" borderId="0" xfId="0" applyFont="1" applyAlignment="1">
      <alignment horizontal="center" vertical="top" wrapText="1"/>
    </xf>
    <xf numFmtId="0" fontId="12" fillId="3" borderId="7"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0" borderId="0" xfId="0" applyFont="1" applyAlignment="1">
      <alignment horizontal="center" vertical="center" wrapText="1"/>
    </xf>
    <xf numFmtId="0" fontId="10" fillId="0" borderId="1" xfId="0" applyFont="1" applyBorder="1" applyAlignment="1">
      <alignment horizontal="center" vertical="center" wrapText="1"/>
    </xf>
    <xf numFmtId="0" fontId="12" fillId="3" borderId="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0" fillId="0" borderId="2" xfId="0" applyBorder="1"/>
    <xf numFmtId="0" fontId="14" fillId="2" borderId="2" xfId="0" quotePrefix="1" applyFont="1" applyFill="1" applyBorder="1" applyAlignment="1">
      <alignment vertical="top" wrapText="1"/>
    </xf>
    <xf numFmtId="0" fontId="39" fillId="2" borderId="2" xfId="0" applyFont="1" applyFill="1" applyBorder="1" applyAlignment="1">
      <alignment horizontal="center" vertical="center"/>
    </xf>
    <xf numFmtId="4" fontId="39" fillId="2" borderId="2" xfId="0" applyNumberFormat="1" applyFont="1" applyFill="1" applyBorder="1" applyAlignment="1">
      <alignment horizontal="center" vertical="center"/>
    </xf>
    <xf numFmtId="3" fontId="39" fillId="2" borderId="2" xfId="0" applyNumberFormat="1" applyFont="1" applyFill="1" applyBorder="1" applyAlignment="1">
      <alignment vertical="center"/>
    </xf>
    <xf numFmtId="9" fontId="39" fillId="2" borderId="2" xfId="0" applyNumberFormat="1" applyFont="1" applyFill="1" applyBorder="1" applyAlignment="1">
      <alignment horizontal="right" vertical="center"/>
    </xf>
    <xf numFmtId="0" fontId="45" fillId="2" borderId="10" xfId="0" applyFont="1" applyFill="1" applyBorder="1" applyAlignment="1">
      <alignment horizontal="right"/>
    </xf>
    <xf numFmtId="3" fontId="33" fillId="2" borderId="2" xfId="0" applyNumberFormat="1" applyFont="1" applyFill="1" applyBorder="1" applyAlignment="1">
      <alignment horizontal="right" vertical="center"/>
    </xf>
    <xf numFmtId="0" fontId="14" fillId="0" borderId="2" xfId="0" applyFont="1" applyBorder="1"/>
    <xf numFmtId="3" fontId="21" fillId="0" borderId="0" xfId="15" applyNumberFormat="1" applyFont="1" applyFill="1" applyBorder="1" applyAlignment="1">
      <alignment horizontal="center" vertical="center" wrapText="1"/>
    </xf>
    <xf numFmtId="9" fontId="39" fillId="2" borderId="2" xfId="0" applyNumberFormat="1" applyFont="1" applyFill="1" applyBorder="1" applyAlignment="1">
      <alignment vertical="center"/>
    </xf>
    <xf numFmtId="0" fontId="45" fillId="2" borderId="10" xfId="0" applyFont="1" applyFill="1" applyBorder="1"/>
    <xf numFmtId="0" fontId="33" fillId="2" borderId="2" xfId="0" quotePrefix="1" applyFont="1" applyFill="1" applyBorder="1" applyAlignment="1">
      <alignment horizontal="left" vertical="center" wrapText="1"/>
    </xf>
    <xf numFmtId="0" fontId="35" fillId="2" borderId="5" xfId="0" applyFont="1" applyFill="1" applyBorder="1" applyAlignment="1">
      <alignment horizontal="center" vertical="center"/>
    </xf>
    <xf numFmtId="4" fontId="35" fillId="2" borderId="5" xfId="0" applyNumberFormat="1" applyFont="1" applyFill="1" applyBorder="1" applyAlignment="1">
      <alignment vertical="center"/>
    </xf>
    <xf numFmtId="3" fontId="35" fillId="2" borderId="5" xfId="0" applyNumberFormat="1" applyFont="1" applyFill="1" applyBorder="1" applyAlignment="1">
      <alignment horizontal="right" vertical="center"/>
    </xf>
    <xf numFmtId="9" fontId="35" fillId="2" borderId="5" xfId="0" applyNumberFormat="1" applyFont="1" applyFill="1" applyBorder="1" applyAlignment="1">
      <alignment horizontal="right" vertical="center" wrapText="1"/>
    </xf>
    <xf numFmtId="3" fontId="35" fillId="2" borderId="15" xfId="0" applyNumberFormat="1" applyFont="1" applyFill="1" applyBorder="1" applyAlignment="1">
      <alignment vertical="center" wrapText="1"/>
    </xf>
    <xf numFmtId="3" fontId="39" fillId="2" borderId="5" xfId="0" applyNumberFormat="1" applyFont="1" applyFill="1" applyBorder="1" applyAlignment="1">
      <alignment horizontal="right"/>
    </xf>
    <xf numFmtId="0" fontId="14" fillId="2" borderId="5" xfId="0" quotePrefix="1" applyFont="1" applyFill="1" applyBorder="1" applyAlignment="1">
      <alignment vertical="top" wrapText="1"/>
    </xf>
    <xf numFmtId="0" fontId="35" fillId="2" borderId="5" xfId="0" quotePrefix="1" applyFont="1" applyFill="1" applyBorder="1" applyAlignment="1">
      <alignment horizontal="left" vertical="center" wrapText="1"/>
    </xf>
    <xf numFmtId="4" fontId="35" fillId="2" borderId="14" xfId="0" applyNumberFormat="1" applyFont="1" applyFill="1" applyBorder="1" applyAlignment="1">
      <alignment vertical="center"/>
    </xf>
    <xf numFmtId="3" fontId="35" fillId="2" borderId="15" xfId="0" applyNumberFormat="1" applyFont="1" applyFill="1" applyBorder="1" applyAlignment="1">
      <alignment horizontal="right" vertical="center" wrapText="1"/>
    </xf>
    <xf numFmtId="3" fontId="39" fillId="2" borderId="15" xfId="0" applyNumberFormat="1" applyFont="1" applyFill="1" applyBorder="1" applyAlignment="1">
      <alignment horizontal="right"/>
    </xf>
  </cellXfs>
  <cellStyles count="21">
    <cellStyle name="Comma" xfId="11" builtinId="3"/>
    <cellStyle name="Comma [0]" xfId="19" builtinId="6"/>
    <cellStyle name="Comma 10" xfId="6" xr:uid="{00000000-0005-0000-0000-000001000000}"/>
    <cellStyle name="Comma 3" xfId="15" xr:uid="{00000000-0005-0000-0000-000002000000}"/>
    <cellStyle name="Comma 5" xfId="4" xr:uid="{00000000-0005-0000-0000-000003000000}"/>
    <cellStyle name="Normal" xfId="0" builtinId="0"/>
    <cellStyle name="Normal 16" xfId="10" xr:uid="{00000000-0005-0000-0000-000005000000}"/>
    <cellStyle name="Normal 17" xfId="5" xr:uid="{00000000-0005-0000-0000-000006000000}"/>
    <cellStyle name="Normal 17 8 2 2" xfId="20" xr:uid="{99884310-18DD-43AC-9A05-27B1AA76139B}"/>
    <cellStyle name="Normal 18" xfId="17" xr:uid="{688D06E1-2E44-4082-9F1C-B0E322C067D6}"/>
    <cellStyle name="Normal 2" xfId="9" xr:uid="{00000000-0005-0000-0000-000007000000}"/>
    <cellStyle name="Normal 2 2" xfId="18" xr:uid="{DD1CC43A-4F03-4218-95FF-64DA78191677}"/>
    <cellStyle name="Normal 29" xfId="8" xr:uid="{00000000-0005-0000-0000-000008000000}"/>
    <cellStyle name="Normal 3" xfId="12" xr:uid="{00000000-0005-0000-0000-000009000000}"/>
    <cellStyle name="Normal 6" xfId="3" xr:uid="{00000000-0005-0000-0000-00000A000000}"/>
    <cellStyle name="Normal_Sheet1" xfId="14" xr:uid="{00000000-0005-0000-0000-00000B000000}"/>
    <cellStyle name="Normal_Sheet1 10" xfId="13" xr:uid="{00000000-0005-0000-0000-00000C000000}"/>
    <cellStyle name="Percent" xfId="1" builtinId="5"/>
    <cellStyle name="Percent 10" xfId="2" xr:uid="{00000000-0005-0000-0000-00000E000000}"/>
    <cellStyle name="Percent 10 2" xfId="16" xr:uid="{00000000-0005-0000-0000-00000F000000}"/>
    <cellStyle name="Percent 5" xfId="7"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2B5F7-1FEB-44F5-8CC0-AC89840614F9}">
  <dimension ref="A1:K1008"/>
  <sheetViews>
    <sheetView tabSelected="1" view="pageBreakPreview" topLeftCell="A892" zoomScale="85" zoomScaleNormal="90" zoomScaleSheetLayoutView="85" workbookViewId="0">
      <selection activeCell="C710" sqref="C710"/>
    </sheetView>
  </sheetViews>
  <sheetFormatPr defaultColWidth="9" defaultRowHeight="16.5" x14ac:dyDescent="0.25"/>
  <cols>
    <col min="1" max="1" width="4.25" style="90" customWidth="1"/>
    <col min="2" max="2" width="33.25" style="90" customWidth="1"/>
    <col min="3" max="3" width="40.75" style="90" customWidth="1"/>
    <col min="4" max="4" width="65.75" style="90" customWidth="1"/>
    <col min="5" max="5" width="11.75" style="90" customWidth="1"/>
    <col min="6" max="6" width="12.75" style="161" customWidth="1"/>
    <col min="7" max="7" width="16.75" style="90" bestFit="1" customWidth="1"/>
    <col min="8" max="8" width="9.75" style="90" customWidth="1"/>
    <col min="9" max="9" width="21.375" style="133" customWidth="1"/>
    <col min="10" max="10" width="24.75" style="90" customWidth="1"/>
    <col min="11" max="16384" width="9" style="90"/>
  </cols>
  <sheetData>
    <row r="1" spans="1:11" s="144" customFormat="1" x14ac:dyDescent="0.2">
      <c r="A1" s="135" t="s">
        <v>0</v>
      </c>
      <c r="B1" s="136"/>
      <c r="C1" s="137"/>
      <c r="D1" s="138"/>
      <c r="E1" s="139"/>
      <c r="F1" s="140"/>
      <c r="G1" s="141"/>
      <c r="H1" s="142"/>
      <c r="I1" s="141"/>
      <c r="J1" s="143"/>
    </row>
    <row r="2" spans="1:11" s="59" customFormat="1" ht="49.5" x14ac:dyDescent="0.2">
      <c r="A2" s="145" t="s">
        <v>1</v>
      </c>
      <c r="B2" s="146" t="s">
        <v>2</v>
      </c>
      <c r="C2" s="147" t="s">
        <v>3</v>
      </c>
      <c r="D2" s="147" t="s">
        <v>4</v>
      </c>
      <c r="E2" s="148" t="s">
        <v>5</v>
      </c>
      <c r="F2" s="149" t="s">
        <v>6</v>
      </c>
      <c r="G2" s="88" t="s">
        <v>7</v>
      </c>
      <c r="H2" s="150" t="s">
        <v>19</v>
      </c>
      <c r="I2" s="88" t="s">
        <v>8</v>
      </c>
      <c r="J2" s="88" t="s">
        <v>9</v>
      </c>
    </row>
    <row r="3" spans="1:11" s="160" customFormat="1" ht="17.25" x14ac:dyDescent="0.25">
      <c r="A3" s="151" t="s">
        <v>10</v>
      </c>
      <c r="B3" s="152">
        <v>2</v>
      </c>
      <c r="C3" s="153">
        <v>3</v>
      </c>
      <c r="D3" s="153">
        <v>4</v>
      </c>
      <c r="E3" s="154">
        <v>5</v>
      </c>
      <c r="F3" s="155">
        <v>6</v>
      </c>
      <c r="G3" s="156">
        <v>7</v>
      </c>
      <c r="H3" s="157">
        <v>8</v>
      </c>
      <c r="I3" s="158">
        <v>9</v>
      </c>
      <c r="J3" s="159">
        <v>10</v>
      </c>
    </row>
    <row r="4" spans="1:11" ht="16.5" customHeight="1" x14ac:dyDescent="0.25">
      <c r="A4" s="22">
        <v>1</v>
      </c>
      <c r="B4" s="580" t="s">
        <v>97</v>
      </c>
      <c r="C4" s="580" t="s">
        <v>114</v>
      </c>
      <c r="D4" s="23" t="s">
        <v>11</v>
      </c>
      <c r="E4" s="82"/>
      <c r="F4" s="24"/>
      <c r="G4" s="25"/>
      <c r="H4" s="26"/>
      <c r="I4" s="26"/>
      <c r="J4" s="27">
        <f>I29</f>
        <v>157436600</v>
      </c>
      <c r="K4" s="47"/>
    </row>
    <row r="5" spans="1:11" x14ac:dyDescent="0.25">
      <c r="A5" s="28"/>
      <c r="B5" s="581"/>
      <c r="C5" s="581"/>
      <c r="D5" s="29" t="s">
        <v>98</v>
      </c>
      <c r="E5" s="177" t="s">
        <v>12</v>
      </c>
      <c r="F5" s="31">
        <v>351.6</v>
      </c>
      <c r="G5" s="32"/>
      <c r="H5" s="33"/>
      <c r="I5" s="33"/>
      <c r="J5" s="32"/>
      <c r="K5" s="32"/>
    </row>
    <row r="6" spans="1:11" x14ac:dyDescent="0.25">
      <c r="A6" s="34"/>
      <c r="B6" s="581"/>
      <c r="C6" s="581"/>
      <c r="D6" s="35" t="s">
        <v>13</v>
      </c>
      <c r="E6" s="59" t="s">
        <v>12</v>
      </c>
      <c r="F6" s="14">
        <v>351.6</v>
      </c>
      <c r="G6" s="32"/>
      <c r="H6" s="36"/>
      <c r="I6" s="36"/>
      <c r="J6" s="32"/>
      <c r="K6" s="47"/>
    </row>
    <row r="7" spans="1:11" x14ac:dyDescent="0.25">
      <c r="A7" s="34"/>
      <c r="B7" s="581"/>
      <c r="C7" s="581"/>
      <c r="D7" s="35" t="s">
        <v>14</v>
      </c>
      <c r="E7" s="59" t="s">
        <v>12</v>
      </c>
      <c r="F7" s="14">
        <f>SUM(F5-F6)</f>
        <v>0</v>
      </c>
      <c r="G7" s="32"/>
      <c r="H7" s="36"/>
      <c r="I7" s="36"/>
      <c r="J7" s="32"/>
      <c r="K7" s="32"/>
    </row>
    <row r="8" spans="1:11" x14ac:dyDescent="0.25">
      <c r="A8" s="34"/>
      <c r="B8" s="581"/>
      <c r="C8" s="581"/>
      <c r="D8" s="35" t="s">
        <v>78</v>
      </c>
      <c r="E8" s="59" t="s">
        <v>21</v>
      </c>
      <c r="F8" s="37">
        <f>F6/F5*100%</f>
        <v>1</v>
      </c>
      <c r="G8" s="32"/>
      <c r="H8" s="36"/>
      <c r="I8" s="36"/>
      <c r="J8" s="32"/>
      <c r="K8" s="32"/>
    </row>
    <row r="9" spans="1:11" x14ac:dyDescent="0.25">
      <c r="A9" s="34"/>
      <c r="B9" s="581"/>
      <c r="C9" s="581"/>
      <c r="D9" s="35"/>
      <c r="E9" s="59"/>
      <c r="F9" s="14"/>
      <c r="G9" s="32"/>
      <c r="H9" s="36"/>
      <c r="I9" s="36"/>
      <c r="J9" s="32"/>
      <c r="K9" s="32"/>
    </row>
    <row r="10" spans="1:11" x14ac:dyDescent="0.25">
      <c r="A10" s="34"/>
      <c r="B10" s="581"/>
      <c r="C10" s="581"/>
      <c r="D10" s="29" t="s">
        <v>64</v>
      </c>
      <c r="E10" s="30" t="s">
        <v>12</v>
      </c>
      <c r="F10" s="165">
        <f>F11</f>
        <v>143.9</v>
      </c>
      <c r="G10" s="32"/>
      <c r="H10" s="36"/>
      <c r="I10" s="36"/>
      <c r="J10" s="32"/>
      <c r="K10" s="32"/>
    </row>
    <row r="11" spans="1:11" ht="16.5" customHeight="1" x14ac:dyDescent="0.25">
      <c r="A11" s="34"/>
      <c r="B11" s="581"/>
      <c r="C11" s="661" t="s">
        <v>433</v>
      </c>
      <c r="D11" s="652" t="s">
        <v>99</v>
      </c>
      <c r="E11" s="16" t="s">
        <v>12</v>
      </c>
      <c r="F11" s="17">
        <v>143.9</v>
      </c>
      <c r="G11" s="655" t="s">
        <v>65</v>
      </c>
      <c r="H11" s="655"/>
      <c r="I11" s="655"/>
      <c r="J11" s="655"/>
      <c r="K11" s="77"/>
    </row>
    <row r="12" spans="1:11" ht="20.25" customHeight="1" x14ac:dyDescent="0.25">
      <c r="A12" s="34"/>
      <c r="B12" s="581"/>
      <c r="C12" s="661"/>
      <c r="D12" s="653"/>
      <c r="E12" s="16"/>
      <c r="F12" s="17"/>
      <c r="G12" s="655"/>
      <c r="H12" s="655"/>
      <c r="I12" s="655"/>
      <c r="J12" s="655"/>
      <c r="K12" s="77"/>
    </row>
    <row r="13" spans="1:11" x14ac:dyDescent="0.25">
      <c r="A13" s="34"/>
      <c r="B13" s="581"/>
      <c r="C13" s="203"/>
      <c r="D13" s="29" t="s">
        <v>66</v>
      </c>
      <c r="E13" s="30"/>
      <c r="F13" s="31"/>
      <c r="G13" s="38"/>
      <c r="H13" s="39"/>
      <c r="I13" s="39"/>
      <c r="J13" s="39"/>
      <c r="K13" s="51"/>
    </row>
    <row r="14" spans="1:11" ht="16.5" customHeight="1" x14ac:dyDescent="0.25">
      <c r="A14" s="34"/>
      <c r="B14" s="581"/>
      <c r="C14" s="661" t="s">
        <v>434</v>
      </c>
      <c r="D14" s="630" t="s">
        <v>364</v>
      </c>
      <c r="E14" s="59"/>
      <c r="F14" s="14"/>
      <c r="G14" s="40"/>
      <c r="H14" s="41"/>
      <c r="I14" s="42"/>
      <c r="J14" s="40"/>
      <c r="K14" s="47"/>
    </row>
    <row r="15" spans="1:11" ht="16.5" customHeight="1" x14ac:dyDescent="0.25">
      <c r="A15" s="34"/>
      <c r="B15" s="581"/>
      <c r="C15" s="661"/>
      <c r="D15" s="630"/>
      <c r="E15" s="59"/>
      <c r="F15" s="14"/>
      <c r="G15" s="40"/>
      <c r="H15" s="41"/>
      <c r="I15" s="42"/>
      <c r="J15" s="40"/>
      <c r="K15" s="47"/>
    </row>
    <row r="16" spans="1:11" x14ac:dyDescent="0.25">
      <c r="A16" s="34"/>
      <c r="B16" s="581"/>
      <c r="C16" s="55"/>
      <c r="D16" s="630"/>
      <c r="E16" s="59"/>
      <c r="F16" s="14"/>
      <c r="G16" s="40"/>
      <c r="H16" s="41"/>
      <c r="I16" s="42"/>
      <c r="J16" s="40"/>
      <c r="K16" s="47"/>
    </row>
    <row r="17" spans="1:11" x14ac:dyDescent="0.25">
      <c r="A17" s="34"/>
      <c r="B17" s="581"/>
      <c r="C17" s="55"/>
      <c r="D17" s="630"/>
      <c r="E17" s="59"/>
      <c r="F17" s="14"/>
      <c r="G17" s="40"/>
      <c r="H17" s="41"/>
      <c r="I17" s="42"/>
      <c r="J17" s="40"/>
      <c r="K17" s="47"/>
    </row>
    <row r="18" spans="1:11" ht="16.5" customHeight="1" x14ac:dyDescent="0.25">
      <c r="A18" s="34"/>
      <c r="B18" s="581"/>
      <c r="C18" s="55"/>
      <c r="D18" s="630"/>
      <c r="E18" s="59"/>
      <c r="F18" s="14"/>
      <c r="G18" s="40"/>
      <c r="H18" s="41"/>
      <c r="I18" s="42"/>
      <c r="J18" s="40"/>
      <c r="K18" s="47"/>
    </row>
    <row r="19" spans="1:11" x14ac:dyDescent="0.25">
      <c r="A19" s="34"/>
      <c r="B19" s="581"/>
      <c r="D19" s="630"/>
      <c r="E19" s="59"/>
      <c r="F19" s="14"/>
      <c r="G19" s="40"/>
      <c r="H19" s="41"/>
      <c r="I19" s="42"/>
      <c r="J19" s="40"/>
      <c r="K19" s="47"/>
    </row>
    <row r="20" spans="1:11" x14ac:dyDescent="0.25">
      <c r="A20" s="34"/>
      <c r="B20" s="581"/>
      <c r="C20" s="171"/>
      <c r="D20" s="630"/>
      <c r="E20" s="59"/>
      <c r="F20" s="14"/>
      <c r="G20" s="40"/>
      <c r="H20" s="41"/>
      <c r="I20" s="42"/>
      <c r="J20" s="40"/>
      <c r="K20" s="47"/>
    </row>
    <row r="21" spans="1:11" x14ac:dyDescent="0.25">
      <c r="A21" s="34"/>
      <c r="B21" s="581"/>
      <c r="D21" s="630"/>
      <c r="E21" s="59"/>
      <c r="F21" s="14"/>
      <c r="G21" s="40"/>
      <c r="H21" s="41"/>
      <c r="I21" s="42"/>
      <c r="J21" s="40"/>
      <c r="K21" s="47"/>
    </row>
    <row r="22" spans="1:11" ht="16.5" customHeight="1" x14ac:dyDescent="0.25">
      <c r="A22" s="34"/>
      <c r="B22" s="581"/>
      <c r="C22" s="101"/>
      <c r="D22" s="630" t="s">
        <v>79</v>
      </c>
      <c r="E22" s="59"/>
      <c r="F22" s="59"/>
      <c r="G22" s="40"/>
      <c r="H22" s="41"/>
      <c r="I22" s="42"/>
      <c r="J22" s="40"/>
      <c r="K22" s="47"/>
    </row>
    <row r="23" spans="1:11" x14ac:dyDescent="0.25">
      <c r="A23" s="34"/>
      <c r="B23" s="581"/>
      <c r="C23" s="101"/>
      <c r="D23" s="630"/>
      <c r="E23" s="59"/>
      <c r="F23" s="59"/>
      <c r="G23" s="40"/>
      <c r="H23" s="41"/>
      <c r="I23" s="42"/>
      <c r="J23" s="40"/>
      <c r="K23" s="47"/>
    </row>
    <row r="24" spans="1:11" x14ac:dyDescent="0.25">
      <c r="A24" s="34"/>
      <c r="B24" s="581"/>
      <c r="C24" s="101"/>
      <c r="D24" s="630"/>
      <c r="E24" s="59"/>
      <c r="F24" s="59"/>
      <c r="G24" s="40"/>
      <c r="H24" s="41"/>
      <c r="I24" s="42"/>
      <c r="J24" s="40"/>
      <c r="K24" s="47"/>
    </row>
    <row r="25" spans="1:11" x14ac:dyDescent="0.25">
      <c r="A25" s="34"/>
      <c r="B25" s="581"/>
      <c r="C25" s="101"/>
      <c r="D25" s="630"/>
      <c r="E25" s="59"/>
      <c r="F25" s="59"/>
      <c r="G25" s="40"/>
      <c r="H25" s="41"/>
      <c r="I25" s="42"/>
      <c r="J25" s="40"/>
      <c r="K25" s="47"/>
    </row>
    <row r="26" spans="1:11" x14ac:dyDescent="0.25">
      <c r="A26" s="34"/>
      <c r="B26" s="581"/>
      <c r="C26" s="101"/>
      <c r="D26" s="630"/>
      <c r="E26" s="59"/>
      <c r="F26" s="59"/>
      <c r="G26" s="40"/>
      <c r="H26" s="41"/>
      <c r="I26" s="42"/>
      <c r="J26" s="40"/>
      <c r="K26" s="47"/>
    </row>
    <row r="27" spans="1:11" x14ac:dyDescent="0.25">
      <c r="A27" s="34"/>
      <c r="B27" s="581"/>
      <c r="C27" s="101"/>
      <c r="D27" s="630"/>
      <c r="E27" s="59"/>
      <c r="F27" s="59"/>
      <c r="G27" s="40"/>
      <c r="H27" s="41"/>
      <c r="I27" s="42"/>
      <c r="J27" s="40"/>
      <c r="K27" s="47"/>
    </row>
    <row r="28" spans="1:11" x14ac:dyDescent="0.25">
      <c r="A28" s="34"/>
      <c r="B28" s="581"/>
      <c r="C28" s="101"/>
      <c r="D28" s="630"/>
      <c r="E28" s="59"/>
      <c r="F28" s="59"/>
      <c r="G28" s="40"/>
      <c r="H28" s="41"/>
      <c r="I28" s="42"/>
      <c r="J28" s="40"/>
      <c r="K28" s="47"/>
    </row>
    <row r="29" spans="1:11" ht="17.25" x14ac:dyDescent="0.25">
      <c r="A29" s="34"/>
      <c r="B29" s="581"/>
      <c r="C29" s="101"/>
      <c r="D29" s="20" t="s">
        <v>67</v>
      </c>
      <c r="E29" s="59" t="s">
        <v>12</v>
      </c>
      <c r="F29" s="14">
        <f>F6-F10</f>
        <v>207.70000000000002</v>
      </c>
      <c r="G29" s="40">
        <v>758000</v>
      </c>
      <c r="H29" s="41">
        <v>1</v>
      </c>
      <c r="I29" s="40">
        <f>F29*G29*H29</f>
        <v>157436600</v>
      </c>
      <c r="K29" s="47"/>
    </row>
    <row r="30" spans="1:11" ht="33" x14ac:dyDescent="0.25">
      <c r="A30" s="34"/>
      <c r="B30" s="581"/>
      <c r="C30" s="101"/>
      <c r="D30" s="204" t="s">
        <v>133</v>
      </c>
      <c r="E30" s="59"/>
      <c r="F30" s="59"/>
      <c r="G30" s="43"/>
      <c r="H30" s="59"/>
      <c r="I30" s="59"/>
      <c r="J30" s="43"/>
      <c r="K30" s="99"/>
    </row>
    <row r="31" spans="1:11" x14ac:dyDescent="0.25">
      <c r="A31" s="34"/>
      <c r="B31" s="581"/>
      <c r="C31" s="101"/>
      <c r="D31" s="91" t="s">
        <v>68</v>
      </c>
      <c r="E31" s="59"/>
      <c r="F31" s="14"/>
      <c r="G31" s="166"/>
      <c r="H31" s="167"/>
      <c r="I31" s="167"/>
      <c r="J31" s="167"/>
      <c r="K31" s="162"/>
    </row>
    <row r="32" spans="1:11" ht="16.5" customHeight="1" x14ac:dyDescent="0.25">
      <c r="A32" s="34"/>
      <c r="B32" s="581"/>
      <c r="C32" s="101"/>
      <c r="D32" s="651" t="s">
        <v>69</v>
      </c>
      <c r="E32" s="59"/>
      <c r="F32" s="14"/>
      <c r="G32" s="657" t="s">
        <v>70</v>
      </c>
      <c r="H32" s="657"/>
      <c r="I32" s="657"/>
      <c r="J32" s="657"/>
      <c r="K32" s="162"/>
    </row>
    <row r="33" spans="1:11" x14ac:dyDescent="0.25">
      <c r="A33" s="34"/>
      <c r="B33" s="581"/>
      <c r="C33" s="101"/>
      <c r="D33" s="654"/>
      <c r="E33" s="59"/>
      <c r="F33" s="14"/>
      <c r="G33" s="658"/>
      <c r="H33" s="658"/>
      <c r="I33" s="658"/>
      <c r="J33" s="658"/>
      <c r="K33" s="162"/>
    </row>
    <row r="34" spans="1:11" x14ac:dyDescent="0.25">
      <c r="A34" s="34"/>
      <c r="B34" s="581"/>
      <c r="C34" s="101"/>
      <c r="D34" s="29" t="s">
        <v>15</v>
      </c>
      <c r="E34" s="59"/>
      <c r="F34" s="14"/>
      <c r="G34" s="32"/>
      <c r="H34" s="32"/>
      <c r="I34" s="36"/>
      <c r="J34" s="47">
        <f>I35+I37</f>
        <v>208000</v>
      </c>
      <c r="K34" s="47"/>
    </row>
    <row r="35" spans="1:11" x14ac:dyDescent="0.25">
      <c r="A35" s="34"/>
      <c r="B35" s="581"/>
      <c r="C35" s="101"/>
      <c r="D35" s="29" t="s">
        <v>16</v>
      </c>
      <c r="E35" s="59"/>
      <c r="F35" s="14"/>
      <c r="G35" s="32"/>
      <c r="H35" s="48"/>
      <c r="I35" s="218">
        <v>0</v>
      </c>
      <c r="J35" s="50"/>
      <c r="K35" s="32"/>
    </row>
    <row r="36" spans="1:11" ht="16.5" customHeight="1" x14ac:dyDescent="0.25">
      <c r="A36" s="34"/>
      <c r="B36" s="581"/>
      <c r="C36" s="101"/>
      <c r="D36" s="203" t="s">
        <v>74</v>
      </c>
      <c r="E36" s="94"/>
      <c r="F36" s="95"/>
      <c r="G36" s="53"/>
      <c r="H36" s="54"/>
      <c r="I36" s="54"/>
      <c r="J36" s="40"/>
      <c r="K36" s="96"/>
    </row>
    <row r="37" spans="1:11" x14ac:dyDescent="0.25">
      <c r="A37" s="34"/>
      <c r="B37" s="55"/>
      <c r="C37" s="101"/>
      <c r="D37" s="60" t="s">
        <v>73</v>
      </c>
      <c r="E37" s="168"/>
      <c r="F37" s="62"/>
      <c r="G37" s="63"/>
      <c r="H37" s="64"/>
      <c r="I37" s="134">
        <f>I45</f>
        <v>208000</v>
      </c>
      <c r="K37" s="50"/>
    </row>
    <row r="38" spans="1:11" x14ac:dyDescent="0.25">
      <c r="A38" s="34"/>
      <c r="B38" s="55"/>
      <c r="C38" s="101"/>
      <c r="D38" s="207" t="s">
        <v>60</v>
      </c>
      <c r="E38" s="61"/>
      <c r="F38" s="62"/>
      <c r="G38" s="63"/>
      <c r="H38" s="64"/>
      <c r="I38" s="64"/>
      <c r="J38" s="65"/>
      <c r="K38" s="50"/>
    </row>
    <row r="39" spans="1:11" ht="16.5" customHeight="1" x14ac:dyDescent="0.25">
      <c r="A39" s="34"/>
      <c r="B39" s="55"/>
      <c r="C39" s="101"/>
      <c r="D39" s="643" t="s">
        <v>91</v>
      </c>
      <c r="E39" s="61"/>
      <c r="F39" s="62"/>
      <c r="G39" s="63"/>
      <c r="H39" s="64"/>
      <c r="I39" s="64"/>
      <c r="J39" s="65"/>
      <c r="K39" s="50"/>
    </row>
    <row r="40" spans="1:11" x14ac:dyDescent="0.25">
      <c r="A40" s="34"/>
      <c r="B40" s="55"/>
      <c r="C40" s="101"/>
      <c r="D40" s="643"/>
      <c r="E40" s="61"/>
      <c r="F40" s="62"/>
      <c r="G40" s="63"/>
      <c r="H40" s="64"/>
      <c r="I40" s="64"/>
      <c r="J40" s="65"/>
      <c r="K40" s="50"/>
    </row>
    <row r="41" spans="1:11" x14ac:dyDescent="0.25">
      <c r="A41" s="34"/>
      <c r="B41" s="55"/>
      <c r="C41" s="101"/>
      <c r="D41" s="643"/>
      <c r="E41" s="61"/>
      <c r="F41" s="62"/>
      <c r="G41" s="63"/>
      <c r="H41" s="64"/>
      <c r="I41" s="64"/>
      <c r="J41" s="65"/>
      <c r="K41" s="50"/>
    </row>
    <row r="42" spans="1:11" x14ac:dyDescent="0.25">
      <c r="A42" s="34"/>
      <c r="B42" s="55"/>
      <c r="C42" s="101"/>
      <c r="D42" s="643"/>
      <c r="E42" s="61"/>
      <c r="F42" s="62"/>
      <c r="G42" s="63"/>
      <c r="H42" s="64"/>
      <c r="I42" s="64"/>
      <c r="J42" s="65"/>
      <c r="K42" s="50"/>
    </row>
    <row r="43" spans="1:11" x14ac:dyDescent="0.25">
      <c r="A43" s="34"/>
      <c r="B43" s="55"/>
      <c r="C43" s="101"/>
      <c r="D43" s="643"/>
      <c r="E43" s="61"/>
      <c r="F43" s="62"/>
      <c r="G43" s="63"/>
      <c r="H43" s="64"/>
      <c r="I43" s="64"/>
      <c r="J43" s="65"/>
      <c r="K43" s="50"/>
    </row>
    <row r="44" spans="1:11" x14ac:dyDescent="0.25">
      <c r="A44" s="34"/>
      <c r="B44" s="55"/>
      <c r="C44" s="101"/>
      <c r="D44" s="643"/>
      <c r="E44" s="61"/>
      <c r="F44" s="62"/>
      <c r="G44" s="63"/>
      <c r="H44" s="64"/>
      <c r="I44" s="64"/>
      <c r="J44" s="65"/>
      <c r="K44" s="50"/>
    </row>
    <row r="45" spans="1:11" x14ac:dyDescent="0.25">
      <c r="A45" s="34"/>
      <c r="B45" s="55"/>
      <c r="C45" s="101"/>
      <c r="D45" s="203" t="s">
        <v>100</v>
      </c>
      <c r="E45" s="61" t="s">
        <v>61</v>
      </c>
      <c r="F45" s="66">
        <v>4</v>
      </c>
      <c r="G45" s="67">
        <v>52000</v>
      </c>
      <c r="H45" s="64">
        <v>1</v>
      </c>
      <c r="I45" s="44">
        <f>F45*G45*H45</f>
        <v>208000</v>
      </c>
      <c r="J45" s="65"/>
      <c r="K45" s="50"/>
    </row>
    <row r="46" spans="1:11" x14ac:dyDescent="0.25">
      <c r="A46" s="34"/>
      <c r="B46" s="55"/>
      <c r="C46" s="101"/>
      <c r="D46" s="211"/>
      <c r="E46" s="61"/>
      <c r="F46" s="66"/>
      <c r="G46" s="67"/>
      <c r="H46" s="64"/>
      <c r="I46" s="44"/>
      <c r="J46" s="65"/>
      <c r="K46" s="50"/>
    </row>
    <row r="47" spans="1:11" x14ac:dyDescent="0.25">
      <c r="A47" s="34"/>
      <c r="B47" s="55"/>
      <c r="C47" s="101"/>
      <c r="D47" s="68" t="s">
        <v>75</v>
      </c>
      <c r="E47" s="59"/>
      <c r="F47" s="14"/>
      <c r="G47" s="40"/>
      <c r="H47" s="69"/>
      <c r="I47" s="69"/>
      <c r="J47" s="70">
        <f>I62</f>
        <v>67294800</v>
      </c>
      <c r="K47" s="47"/>
    </row>
    <row r="48" spans="1:11" ht="16.5" customHeight="1" x14ac:dyDescent="0.25">
      <c r="A48" s="34"/>
      <c r="B48" s="55"/>
      <c r="C48" s="101"/>
      <c r="D48" s="55" t="s">
        <v>81</v>
      </c>
      <c r="E48" s="59"/>
      <c r="F48" s="659" t="s">
        <v>101</v>
      </c>
      <c r="G48" s="659"/>
      <c r="H48" s="659"/>
      <c r="I48" s="659"/>
      <c r="J48" s="659"/>
      <c r="K48" s="111"/>
    </row>
    <row r="49" spans="1:11" ht="16.5" customHeight="1" x14ac:dyDescent="0.25">
      <c r="A49" s="34"/>
      <c r="B49" s="55"/>
      <c r="C49" s="101"/>
      <c r="D49" s="170"/>
      <c r="E49" s="59"/>
      <c r="F49" s="660"/>
      <c r="G49" s="660"/>
      <c r="H49" s="660"/>
      <c r="I49" s="660"/>
      <c r="J49" s="660"/>
      <c r="K49" s="77"/>
    </row>
    <row r="50" spans="1:11" x14ac:dyDescent="0.25">
      <c r="A50" s="34"/>
      <c r="B50" s="55"/>
      <c r="C50" s="101"/>
      <c r="D50" s="21" t="s">
        <v>17</v>
      </c>
      <c r="E50" s="110"/>
      <c r="F50" s="110"/>
      <c r="G50" s="58"/>
      <c r="H50" s="57"/>
      <c r="I50" s="57"/>
      <c r="J50" s="73"/>
      <c r="K50" s="57"/>
    </row>
    <row r="51" spans="1:11" ht="16.5" customHeight="1" x14ac:dyDescent="0.25">
      <c r="A51" s="34"/>
      <c r="B51" s="55"/>
      <c r="C51" s="101"/>
      <c r="D51" s="613" t="s">
        <v>76</v>
      </c>
      <c r="E51" s="16"/>
      <c r="F51" s="272"/>
      <c r="G51" s="44"/>
      <c r="H51" s="74"/>
      <c r="I51" s="75"/>
      <c r="J51" s="74"/>
      <c r="K51" s="118"/>
    </row>
    <row r="52" spans="1:11" x14ac:dyDescent="0.25">
      <c r="A52" s="34"/>
      <c r="B52" s="55"/>
      <c r="C52" s="101"/>
      <c r="D52" s="613"/>
      <c r="E52" s="16"/>
      <c r="F52" s="272"/>
      <c r="G52" s="44"/>
      <c r="H52" s="74"/>
      <c r="I52" s="75"/>
      <c r="J52" s="74"/>
      <c r="K52" s="118"/>
    </row>
    <row r="53" spans="1:11" x14ac:dyDescent="0.25">
      <c r="A53" s="34"/>
      <c r="B53" s="55"/>
      <c r="C53" s="101"/>
      <c r="D53" s="613"/>
      <c r="E53" s="16"/>
      <c r="F53" s="272"/>
      <c r="G53" s="44"/>
      <c r="H53" s="74"/>
      <c r="I53" s="75"/>
      <c r="J53" s="74"/>
      <c r="K53" s="118"/>
    </row>
    <row r="54" spans="1:11" x14ac:dyDescent="0.25">
      <c r="A54" s="34"/>
      <c r="B54" s="55"/>
      <c r="C54" s="101"/>
      <c r="D54" s="613"/>
      <c r="E54" s="16"/>
      <c r="F54" s="272"/>
      <c r="G54" s="44"/>
      <c r="H54" s="74"/>
      <c r="I54" s="75"/>
      <c r="J54" s="74"/>
      <c r="K54" s="118"/>
    </row>
    <row r="55" spans="1:11" ht="16.5" customHeight="1" x14ac:dyDescent="0.25">
      <c r="A55" s="34"/>
      <c r="B55" s="55"/>
      <c r="C55" s="101"/>
      <c r="D55" s="640" t="s">
        <v>77</v>
      </c>
      <c r="E55" s="16"/>
      <c r="F55" s="17"/>
      <c r="G55" s="44"/>
      <c r="H55" s="74"/>
      <c r="I55" s="75"/>
      <c r="J55" s="72"/>
      <c r="K55" s="118"/>
    </row>
    <row r="56" spans="1:11" x14ac:dyDescent="0.25">
      <c r="A56" s="34"/>
      <c r="B56" s="55"/>
      <c r="C56" s="101"/>
      <c r="D56" s="640"/>
      <c r="E56" s="16"/>
      <c r="F56" s="17"/>
      <c r="G56" s="44"/>
      <c r="H56" s="74"/>
      <c r="I56" s="75"/>
      <c r="J56" s="72"/>
      <c r="K56" s="118"/>
    </row>
    <row r="57" spans="1:11" x14ac:dyDescent="0.25">
      <c r="A57" s="34"/>
      <c r="B57" s="55"/>
      <c r="C57" s="101"/>
      <c r="D57" s="640"/>
      <c r="E57" s="16"/>
      <c r="F57" s="17"/>
      <c r="G57" s="44"/>
      <c r="H57" s="74"/>
      <c r="I57" s="75"/>
      <c r="J57" s="72"/>
      <c r="K57" s="118"/>
    </row>
    <row r="58" spans="1:11" x14ac:dyDescent="0.25">
      <c r="A58" s="34"/>
      <c r="B58" s="55"/>
      <c r="C58" s="101"/>
      <c r="D58" s="640"/>
      <c r="E58" s="16"/>
      <c r="F58" s="17"/>
      <c r="G58" s="44"/>
      <c r="H58" s="74"/>
      <c r="I58" s="75"/>
      <c r="J58" s="72"/>
      <c r="K58" s="118"/>
    </row>
    <row r="59" spans="1:11" x14ac:dyDescent="0.25">
      <c r="A59" s="34"/>
      <c r="B59" s="55"/>
      <c r="C59" s="101"/>
      <c r="D59" s="640"/>
      <c r="E59" s="16"/>
      <c r="F59" s="17"/>
      <c r="G59" s="44"/>
      <c r="H59" s="74"/>
      <c r="I59" s="75"/>
      <c r="J59" s="72"/>
      <c r="K59" s="118"/>
    </row>
    <row r="60" spans="1:11" x14ac:dyDescent="0.25">
      <c r="A60" s="34"/>
      <c r="B60" s="55"/>
      <c r="C60" s="101"/>
      <c r="D60" s="640"/>
      <c r="E60" s="16"/>
      <c r="F60" s="17"/>
      <c r="G60" s="44"/>
      <c r="H60" s="74"/>
      <c r="I60" s="75"/>
      <c r="J60" s="72"/>
      <c r="K60" s="118"/>
    </row>
    <row r="61" spans="1:11" x14ac:dyDescent="0.25">
      <c r="A61" s="34"/>
      <c r="B61" s="55"/>
      <c r="C61" s="101"/>
      <c r="D61" s="212"/>
      <c r="E61" s="16"/>
      <c r="F61" s="17"/>
      <c r="G61" s="44"/>
      <c r="H61" s="74"/>
      <c r="I61" s="75"/>
      <c r="J61" s="72"/>
      <c r="K61" s="118"/>
    </row>
    <row r="62" spans="1:11" x14ac:dyDescent="0.25">
      <c r="A62" s="34"/>
      <c r="B62" s="55"/>
      <c r="C62" s="101"/>
      <c r="D62" s="76" t="s">
        <v>102</v>
      </c>
      <c r="E62" s="16" t="s">
        <v>12</v>
      </c>
      <c r="F62" s="17">
        <f>F29</f>
        <v>207.70000000000002</v>
      </c>
      <c r="G62" s="44">
        <v>324000</v>
      </c>
      <c r="H62" s="75">
        <v>1</v>
      </c>
      <c r="I62" s="72">
        <f>F62*G62*H62</f>
        <v>67294800</v>
      </c>
      <c r="K62" s="118"/>
    </row>
    <row r="63" spans="1:11" x14ac:dyDescent="0.25">
      <c r="A63" s="34"/>
      <c r="B63" s="55"/>
      <c r="C63" s="101"/>
      <c r="D63" s="15" t="s">
        <v>57</v>
      </c>
      <c r="E63" s="78"/>
      <c r="F63" s="78"/>
      <c r="G63" s="79"/>
      <c r="H63" s="80"/>
      <c r="I63" s="80"/>
      <c r="J63" s="81"/>
      <c r="K63" s="163"/>
    </row>
    <row r="64" spans="1:11" ht="16.5" customHeight="1" x14ac:dyDescent="0.25">
      <c r="A64" s="34"/>
      <c r="B64" s="55"/>
      <c r="C64" s="101"/>
      <c r="D64" s="640" t="s">
        <v>23</v>
      </c>
      <c r="E64" s="78"/>
      <c r="F64" s="641" t="s">
        <v>24</v>
      </c>
      <c r="G64" s="641"/>
      <c r="H64" s="641"/>
      <c r="I64" s="641"/>
      <c r="J64" s="641"/>
      <c r="K64" s="15"/>
    </row>
    <row r="65" spans="1:11" x14ac:dyDescent="0.25">
      <c r="A65" s="34"/>
      <c r="B65" s="55"/>
      <c r="C65" s="101"/>
      <c r="D65" s="640"/>
      <c r="E65" s="94"/>
      <c r="F65" s="656"/>
      <c r="G65" s="656"/>
      <c r="H65" s="656"/>
      <c r="I65" s="656"/>
      <c r="J65" s="656"/>
      <c r="K65" s="15"/>
    </row>
    <row r="66" spans="1:11" x14ac:dyDescent="0.25">
      <c r="A66" s="34"/>
      <c r="B66" s="55"/>
      <c r="C66" s="101"/>
      <c r="D66" s="175"/>
      <c r="E66" s="94"/>
      <c r="F66" s="642"/>
      <c r="G66" s="642"/>
      <c r="H66" s="642"/>
      <c r="I66" s="642"/>
      <c r="J66" s="642"/>
      <c r="K66" s="15"/>
    </row>
    <row r="67" spans="1:11" x14ac:dyDescent="0.25">
      <c r="A67" s="34"/>
      <c r="B67" s="55"/>
      <c r="C67" s="101"/>
      <c r="D67" s="175"/>
      <c r="E67" s="94"/>
      <c r="F67" s="205"/>
      <c r="G67" s="169"/>
      <c r="H67" s="169"/>
      <c r="I67" s="169"/>
      <c r="J67" s="169"/>
      <c r="K67" s="15"/>
    </row>
    <row r="68" spans="1:11" s="442" customFormat="1" ht="16.5" customHeight="1" x14ac:dyDescent="0.25">
      <c r="A68" s="639" t="s">
        <v>22</v>
      </c>
      <c r="B68" s="639"/>
      <c r="C68" s="639"/>
      <c r="D68" s="639"/>
      <c r="E68" s="639"/>
      <c r="F68" s="639"/>
      <c r="G68" s="639"/>
      <c r="H68" s="639"/>
      <c r="I68" s="639"/>
      <c r="J68" s="164">
        <f>J4+J34+J47</f>
        <v>224939400</v>
      </c>
      <c r="K68" s="535"/>
    </row>
    <row r="69" spans="1:11" s="179" customFormat="1" ht="16.5" customHeight="1" x14ac:dyDescent="0.25">
      <c r="A69" s="532"/>
      <c r="B69" s="532"/>
      <c r="C69" s="532"/>
      <c r="D69" s="532"/>
      <c r="E69" s="532"/>
      <c r="F69" s="533"/>
      <c r="G69" s="532"/>
      <c r="H69" s="532"/>
      <c r="I69" s="532"/>
      <c r="J69" s="534"/>
      <c r="K69" s="180"/>
    </row>
    <row r="70" spans="1:11" s="179" customFormat="1" ht="16.5" customHeight="1" x14ac:dyDescent="0.25">
      <c r="A70" s="219">
        <v>2</v>
      </c>
      <c r="B70" s="637" t="s">
        <v>106</v>
      </c>
      <c r="C70" s="644" t="s">
        <v>358</v>
      </c>
      <c r="D70" s="220" t="s">
        <v>11</v>
      </c>
      <c r="E70" s="221"/>
      <c r="F70" s="222"/>
      <c r="G70" s="223"/>
      <c r="H70" s="224"/>
      <c r="I70" s="223"/>
      <c r="J70" s="225">
        <f>SUM(I73:I79)</f>
        <v>0</v>
      </c>
      <c r="K70" s="180"/>
    </row>
    <row r="71" spans="1:11" s="179" customFormat="1" ht="16.5" customHeight="1" x14ac:dyDescent="0.25">
      <c r="A71" s="226"/>
      <c r="B71" s="638"/>
      <c r="C71" s="645"/>
      <c r="D71" s="227" t="s">
        <v>357</v>
      </c>
      <c r="E71" s="228" t="s">
        <v>12</v>
      </c>
      <c r="F71" s="229">
        <v>2807.4</v>
      </c>
      <c r="G71" s="230"/>
      <c r="H71" s="231"/>
      <c r="I71" s="230"/>
      <c r="J71" s="230"/>
      <c r="K71" s="180"/>
    </row>
    <row r="72" spans="1:11" s="179" customFormat="1" ht="16.5" customHeight="1" x14ac:dyDescent="0.25">
      <c r="A72" s="232"/>
      <c r="B72" s="638"/>
      <c r="C72" s="645"/>
      <c r="D72" s="233" t="s">
        <v>13</v>
      </c>
      <c r="E72" s="228" t="s">
        <v>12</v>
      </c>
      <c r="F72" s="234">
        <v>2807.4</v>
      </c>
      <c r="G72" s="230"/>
      <c r="H72" s="235"/>
      <c r="I72" s="230"/>
      <c r="J72" s="236"/>
      <c r="K72" s="180"/>
    </row>
    <row r="73" spans="1:11" s="179" customFormat="1" ht="16.5" customHeight="1" x14ac:dyDescent="0.25">
      <c r="A73" s="232"/>
      <c r="B73" s="638"/>
      <c r="C73" s="645"/>
      <c r="D73" s="233" t="s">
        <v>14</v>
      </c>
      <c r="E73" s="228" t="s">
        <v>12</v>
      </c>
      <c r="F73" s="237">
        <f>SUM(F71-F72)</f>
        <v>0</v>
      </c>
      <c r="G73" s="230"/>
      <c r="H73" s="235"/>
      <c r="I73" s="230"/>
      <c r="J73" s="230"/>
      <c r="K73" s="180"/>
    </row>
    <row r="74" spans="1:11" s="179" customFormat="1" ht="16.5" customHeight="1" x14ac:dyDescent="0.25">
      <c r="A74" s="232"/>
      <c r="B74" s="638"/>
      <c r="C74" s="645"/>
      <c r="D74" s="238" t="s">
        <v>62</v>
      </c>
      <c r="E74" s="228" t="s">
        <v>21</v>
      </c>
      <c r="F74" s="239">
        <f>F72/F71*100%</f>
        <v>1</v>
      </c>
      <c r="G74" s="230"/>
      <c r="H74" s="235"/>
      <c r="I74" s="230"/>
      <c r="J74" s="230"/>
      <c r="K74" s="180"/>
    </row>
    <row r="75" spans="1:11" s="179" customFormat="1" ht="32.25" customHeight="1" x14ac:dyDescent="0.25">
      <c r="A75" s="232"/>
      <c r="B75" s="638"/>
      <c r="C75" s="645"/>
      <c r="D75" s="227"/>
      <c r="E75" s="228"/>
      <c r="F75" s="240"/>
      <c r="G75" s="230"/>
      <c r="H75" s="235"/>
      <c r="I75" s="230"/>
      <c r="J75" s="230"/>
      <c r="K75" s="180"/>
    </row>
    <row r="76" spans="1:11" s="179" customFormat="1" ht="16.5" customHeight="1" x14ac:dyDescent="0.25">
      <c r="A76" s="232"/>
      <c r="B76" s="638"/>
      <c r="C76" s="241"/>
      <c r="D76" s="227" t="s">
        <v>103</v>
      </c>
      <c r="E76" s="228"/>
      <c r="F76" s="242"/>
      <c r="G76" s="230"/>
      <c r="H76" s="235"/>
      <c r="I76" s="230"/>
      <c r="J76" s="230"/>
      <c r="K76" s="180"/>
    </row>
    <row r="77" spans="1:11" s="179" customFormat="1" ht="16.5" customHeight="1" x14ac:dyDescent="0.25">
      <c r="A77" s="232"/>
      <c r="B77" s="638"/>
      <c r="C77" s="646"/>
      <c r="D77" s="647" t="s">
        <v>107</v>
      </c>
      <c r="E77" s="648" t="s">
        <v>12</v>
      </c>
      <c r="F77" s="243">
        <f>F72</f>
        <v>2807.4</v>
      </c>
      <c r="G77" s="649" t="s">
        <v>86</v>
      </c>
      <c r="H77" s="649"/>
      <c r="I77" s="649"/>
      <c r="J77" s="649"/>
      <c r="K77" s="180"/>
    </row>
    <row r="78" spans="1:11" s="179" customFormat="1" ht="16.5" customHeight="1" x14ac:dyDescent="0.25">
      <c r="A78" s="232"/>
      <c r="B78" s="638"/>
      <c r="C78" s="646"/>
      <c r="D78" s="647"/>
      <c r="E78" s="648"/>
      <c r="F78" s="243"/>
      <c r="G78" s="649"/>
      <c r="H78" s="649"/>
      <c r="I78" s="649"/>
      <c r="J78" s="649"/>
      <c r="K78" s="180"/>
    </row>
    <row r="79" spans="1:11" s="179" customFormat="1" ht="16.5" customHeight="1" x14ac:dyDescent="0.25">
      <c r="A79" s="232"/>
      <c r="B79" s="638"/>
      <c r="C79" s="241"/>
      <c r="D79" s="227"/>
      <c r="E79" s="228"/>
      <c r="F79" s="234"/>
      <c r="G79" s="230"/>
      <c r="H79" s="235"/>
      <c r="I79" s="230"/>
      <c r="J79" s="230"/>
      <c r="K79" s="180"/>
    </row>
    <row r="80" spans="1:11" s="179" customFormat="1" ht="16.5" customHeight="1" x14ac:dyDescent="0.25">
      <c r="A80" s="232"/>
      <c r="B80" s="638"/>
      <c r="C80" s="241"/>
      <c r="D80" s="227" t="s">
        <v>15</v>
      </c>
      <c r="E80" s="244"/>
      <c r="F80" s="228"/>
      <c r="G80" s="230"/>
      <c r="H80" s="235"/>
      <c r="I80" s="230"/>
      <c r="J80" s="236">
        <f>I81+I83</f>
        <v>0</v>
      </c>
      <c r="K80" s="180"/>
    </row>
    <row r="81" spans="1:11" s="179" customFormat="1" ht="16.5" customHeight="1" x14ac:dyDescent="0.25">
      <c r="A81" s="232"/>
      <c r="B81" s="638"/>
      <c r="C81" s="241"/>
      <c r="D81" s="227" t="s">
        <v>16</v>
      </c>
      <c r="E81" s="244"/>
      <c r="F81" s="228"/>
      <c r="G81" s="230"/>
      <c r="H81" s="245"/>
      <c r="I81" s="236">
        <v>0</v>
      </c>
      <c r="J81" s="230"/>
      <c r="K81" s="180"/>
    </row>
    <row r="82" spans="1:11" s="179" customFormat="1" ht="16.5" customHeight="1" x14ac:dyDescent="0.3">
      <c r="A82" s="232"/>
      <c r="B82" s="638"/>
      <c r="C82" s="246"/>
      <c r="D82" s="247" t="s">
        <v>108</v>
      </c>
      <c r="E82" s="244"/>
      <c r="F82" s="228"/>
      <c r="G82" s="230"/>
      <c r="H82" s="245"/>
      <c r="I82" s="236"/>
      <c r="J82" s="230"/>
      <c r="K82" s="180"/>
    </row>
    <row r="83" spans="1:11" s="179" customFormat="1" ht="16.5" customHeight="1" x14ac:dyDescent="0.25">
      <c r="A83" s="248"/>
      <c r="B83" s="638"/>
      <c r="C83" s="250"/>
      <c r="D83" s="251" t="s">
        <v>25</v>
      </c>
      <c r="E83" s="252"/>
      <c r="F83" s="253"/>
      <c r="G83" s="254"/>
      <c r="H83" s="255"/>
      <c r="I83" s="256">
        <v>0</v>
      </c>
      <c r="J83" s="257"/>
      <c r="K83" s="180"/>
    </row>
    <row r="84" spans="1:11" s="179" customFormat="1" ht="16.5" customHeight="1" x14ac:dyDescent="0.3">
      <c r="A84" s="248"/>
      <c r="B84" s="638"/>
      <c r="C84" s="250"/>
      <c r="D84" s="247" t="s">
        <v>74</v>
      </c>
      <c r="E84" s="252"/>
      <c r="F84" s="253"/>
      <c r="G84" s="254"/>
      <c r="H84" s="255"/>
      <c r="I84" s="258"/>
      <c r="J84" s="259"/>
      <c r="K84" s="180"/>
    </row>
    <row r="85" spans="1:11" s="179" customFormat="1" ht="16.5" customHeight="1" x14ac:dyDescent="0.25">
      <c r="A85" s="248"/>
      <c r="B85" s="638"/>
      <c r="C85" s="250"/>
      <c r="D85" s="249" t="s">
        <v>93</v>
      </c>
      <c r="E85" s="252"/>
      <c r="F85" s="615" t="s">
        <v>104</v>
      </c>
      <c r="G85" s="616"/>
      <c r="H85" s="616"/>
      <c r="I85" s="616"/>
      <c r="J85" s="617"/>
      <c r="K85" s="180"/>
    </row>
    <row r="86" spans="1:11" s="179" customFormat="1" ht="16.5" customHeight="1" x14ac:dyDescent="0.25">
      <c r="A86" s="248"/>
      <c r="B86" s="638"/>
      <c r="C86" s="250"/>
      <c r="D86" s="249" t="s">
        <v>18</v>
      </c>
      <c r="E86" s="260"/>
      <c r="F86" s="618"/>
      <c r="G86" s="619"/>
      <c r="H86" s="619"/>
      <c r="I86" s="619"/>
      <c r="J86" s="620"/>
      <c r="K86" s="180"/>
    </row>
    <row r="87" spans="1:11" s="179" customFormat="1" ht="16.5" customHeight="1" x14ac:dyDescent="0.25">
      <c r="A87" s="248"/>
      <c r="B87" s="638"/>
      <c r="C87" s="250"/>
      <c r="D87" s="249" t="s">
        <v>17</v>
      </c>
      <c r="E87" s="260"/>
      <c r="F87" s="621"/>
      <c r="G87" s="622"/>
      <c r="H87" s="622"/>
      <c r="I87" s="622"/>
      <c r="J87" s="623"/>
      <c r="K87" s="180"/>
    </row>
    <row r="88" spans="1:11" s="179" customFormat="1" ht="16.5" customHeight="1" x14ac:dyDescent="0.3">
      <c r="A88" s="248"/>
      <c r="B88" s="249"/>
      <c r="C88" s="250"/>
      <c r="D88" s="261" t="s">
        <v>57</v>
      </c>
      <c r="E88" s="260"/>
      <c r="F88" s="262"/>
      <c r="G88" s="263"/>
      <c r="H88" s="264"/>
      <c r="I88" s="265"/>
      <c r="J88" s="266"/>
      <c r="K88" s="180"/>
    </row>
    <row r="89" spans="1:11" s="179" customFormat="1" ht="16.5" customHeight="1" x14ac:dyDescent="0.25">
      <c r="A89" s="248"/>
      <c r="B89" s="249"/>
      <c r="C89" s="250"/>
      <c r="D89" s="267" t="s">
        <v>20</v>
      </c>
      <c r="E89" s="260"/>
      <c r="F89" s="624" t="s">
        <v>105</v>
      </c>
      <c r="G89" s="625"/>
      <c r="H89" s="625"/>
      <c r="I89" s="625"/>
      <c r="J89" s="626"/>
      <c r="K89" s="180"/>
    </row>
    <row r="90" spans="1:11" s="179" customFormat="1" ht="16.5" customHeight="1" x14ac:dyDescent="0.25">
      <c r="A90" s="248"/>
      <c r="B90" s="249"/>
      <c r="C90" s="250"/>
      <c r="D90" s="268" t="s">
        <v>23</v>
      </c>
      <c r="E90" s="260"/>
      <c r="F90" s="627"/>
      <c r="G90" s="628"/>
      <c r="H90" s="628"/>
      <c r="I90" s="628"/>
      <c r="J90" s="629"/>
      <c r="K90" s="180"/>
    </row>
    <row r="91" spans="1:11" s="179" customFormat="1" ht="16.5" customHeight="1" x14ac:dyDescent="0.25">
      <c r="A91" s="248"/>
      <c r="B91" s="249"/>
      <c r="C91" s="250"/>
      <c r="D91" s="268"/>
      <c r="E91" s="260"/>
      <c r="F91" s="269"/>
      <c r="G91" s="269"/>
      <c r="H91" s="269"/>
      <c r="I91" s="269"/>
      <c r="J91" s="269"/>
      <c r="K91" s="180"/>
    </row>
    <row r="92" spans="1:11" s="537" customFormat="1" ht="16.5" customHeight="1" x14ac:dyDescent="0.25">
      <c r="A92" s="631" t="s">
        <v>22</v>
      </c>
      <c r="B92" s="632"/>
      <c r="C92" s="632"/>
      <c r="D92" s="632"/>
      <c r="E92" s="632"/>
      <c r="F92" s="632"/>
      <c r="G92" s="632"/>
      <c r="H92" s="632"/>
      <c r="I92" s="633"/>
      <c r="J92" s="270">
        <f>SUM(J70:J88)</f>
        <v>0</v>
      </c>
      <c r="K92" s="536"/>
    </row>
    <row r="93" spans="1:11" s="179" customFormat="1" ht="16.5" customHeight="1" x14ac:dyDescent="0.25">
      <c r="A93" s="532"/>
      <c r="B93" s="532"/>
      <c r="C93" s="532"/>
      <c r="D93" s="532"/>
      <c r="E93" s="532"/>
      <c r="F93" s="533"/>
      <c r="G93" s="532"/>
      <c r="H93" s="532"/>
      <c r="I93" s="532"/>
      <c r="J93" s="534"/>
    </row>
    <row r="94" spans="1:11" ht="16.5" customHeight="1" x14ac:dyDescent="0.25">
      <c r="A94" s="22">
        <v>3</v>
      </c>
      <c r="B94" s="635" t="s">
        <v>109</v>
      </c>
      <c r="C94" s="580" t="s">
        <v>115</v>
      </c>
      <c r="D94" s="23" t="s">
        <v>11</v>
      </c>
      <c r="E94" s="82"/>
      <c r="F94" s="24"/>
      <c r="G94" s="25"/>
      <c r="H94" s="26"/>
      <c r="I94" s="26"/>
      <c r="J94" s="27">
        <f>I126</f>
        <v>6231972799.999999</v>
      </c>
    </row>
    <row r="95" spans="1:11" x14ac:dyDescent="0.25">
      <c r="A95" s="28"/>
      <c r="B95" s="636"/>
      <c r="C95" s="581"/>
      <c r="D95" s="29" t="s">
        <v>110</v>
      </c>
      <c r="E95" s="30" t="s">
        <v>12</v>
      </c>
      <c r="F95" s="271">
        <v>6140.9</v>
      </c>
      <c r="G95" s="32"/>
      <c r="H95" s="33"/>
      <c r="I95" s="33"/>
      <c r="J95" s="32"/>
    </row>
    <row r="96" spans="1:11" x14ac:dyDescent="0.25">
      <c r="A96" s="34"/>
      <c r="B96" s="636"/>
      <c r="C96" s="581"/>
      <c r="D96" s="35" t="s">
        <v>13</v>
      </c>
      <c r="E96" s="16" t="s">
        <v>12</v>
      </c>
      <c r="F96" s="92">
        <v>6140.9</v>
      </c>
      <c r="G96" s="32"/>
      <c r="H96" s="36"/>
      <c r="I96" s="36"/>
      <c r="J96" s="32"/>
    </row>
    <row r="97" spans="1:10" x14ac:dyDescent="0.25">
      <c r="A97" s="34"/>
      <c r="B97" s="636"/>
      <c r="C97" s="581"/>
      <c r="D97" s="35" t="s">
        <v>14</v>
      </c>
      <c r="E97" s="16" t="s">
        <v>12</v>
      </c>
      <c r="F97" s="92">
        <f>F95-F96</f>
        <v>0</v>
      </c>
      <c r="G97" s="32"/>
      <c r="H97" s="36"/>
      <c r="I97" s="36"/>
      <c r="J97" s="32"/>
    </row>
    <row r="98" spans="1:10" x14ac:dyDescent="0.25">
      <c r="A98" s="34"/>
      <c r="B98" s="636"/>
      <c r="C98" s="581"/>
      <c r="D98" s="29" t="s">
        <v>111</v>
      </c>
      <c r="E98" s="177" t="s">
        <v>12</v>
      </c>
      <c r="F98" s="271">
        <v>2103.9</v>
      </c>
      <c r="G98" s="32"/>
      <c r="H98" s="36"/>
      <c r="I98" s="36"/>
      <c r="J98" s="32"/>
    </row>
    <row r="99" spans="1:10" x14ac:dyDescent="0.25">
      <c r="A99" s="34"/>
      <c r="B99" s="636"/>
      <c r="C99" s="581"/>
      <c r="D99" s="35" t="s">
        <v>13</v>
      </c>
      <c r="E99" s="59" t="s">
        <v>12</v>
      </c>
      <c r="F99" s="92">
        <v>2103.9</v>
      </c>
      <c r="G99" s="32"/>
      <c r="H99" s="36"/>
      <c r="I99" s="36"/>
      <c r="J99" s="32"/>
    </row>
    <row r="100" spans="1:10" ht="16.5" customHeight="1" x14ac:dyDescent="0.25">
      <c r="A100" s="34"/>
      <c r="B100" s="636"/>
      <c r="C100" s="661" t="s">
        <v>435</v>
      </c>
      <c r="D100" s="35" t="s">
        <v>14</v>
      </c>
      <c r="E100" s="59" t="s">
        <v>12</v>
      </c>
      <c r="F100" s="92">
        <f>SUM(F98-F99)</f>
        <v>0</v>
      </c>
      <c r="G100" s="32"/>
      <c r="H100" s="36"/>
      <c r="I100" s="36"/>
      <c r="J100" s="32"/>
    </row>
    <row r="101" spans="1:10" ht="18.75" customHeight="1" x14ac:dyDescent="0.25">
      <c r="A101" s="83"/>
      <c r="B101" s="636"/>
      <c r="C101" s="661"/>
      <c r="D101" s="91" t="s">
        <v>112</v>
      </c>
      <c r="E101" s="208" t="s">
        <v>12</v>
      </c>
      <c r="F101" s="271">
        <f>F95+F98</f>
        <v>8244.7999999999993</v>
      </c>
      <c r="G101" s="32"/>
      <c r="H101" s="36"/>
      <c r="I101" s="36"/>
      <c r="J101" s="32"/>
    </row>
    <row r="102" spans="1:10" ht="16.5" customHeight="1" x14ac:dyDescent="0.25">
      <c r="A102" s="83"/>
      <c r="B102" s="636"/>
      <c r="C102" s="661" t="s">
        <v>436</v>
      </c>
      <c r="D102" s="35" t="s">
        <v>82</v>
      </c>
      <c r="E102" s="177" t="s">
        <v>12</v>
      </c>
      <c r="F102" s="271">
        <f>F96+F99</f>
        <v>8244.7999999999993</v>
      </c>
      <c r="G102" s="32"/>
      <c r="H102" s="36"/>
      <c r="I102" s="36"/>
      <c r="J102" s="32"/>
    </row>
    <row r="103" spans="1:10" ht="18.75" customHeight="1" x14ac:dyDescent="0.25">
      <c r="A103" s="83"/>
      <c r="B103" s="636"/>
      <c r="C103" s="661"/>
      <c r="D103" s="35" t="s">
        <v>83</v>
      </c>
      <c r="E103" s="177" t="s">
        <v>12</v>
      </c>
      <c r="F103" s="271">
        <f>F101-F102</f>
        <v>0</v>
      </c>
      <c r="G103" s="32"/>
      <c r="H103" s="36"/>
      <c r="I103" s="36"/>
      <c r="J103" s="32"/>
    </row>
    <row r="104" spans="1:10" x14ac:dyDescent="0.25">
      <c r="A104" s="83"/>
      <c r="B104" s="636"/>
      <c r="C104" s="55"/>
      <c r="D104" s="85" t="s">
        <v>84</v>
      </c>
      <c r="E104" s="30" t="s">
        <v>21</v>
      </c>
      <c r="F104" s="19">
        <f>F102/F101*100%</f>
        <v>1</v>
      </c>
      <c r="G104" s="32"/>
      <c r="H104" s="36"/>
      <c r="I104" s="36"/>
      <c r="J104" s="32"/>
    </row>
    <row r="105" spans="1:10" x14ac:dyDescent="0.25">
      <c r="A105" s="83"/>
      <c r="B105" s="636"/>
      <c r="C105" s="55"/>
      <c r="D105" s="60"/>
      <c r="E105" s="17"/>
      <c r="F105" s="17"/>
      <c r="G105" s="18"/>
      <c r="H105" s="19"/>
      <c r="I105" s="18"/>
      <c r="J105" s="86"/>
    </row>
    <row r="106" spans="1:10" ht="16.5" customHeight="1" x14ac:dyDescent="0.25">
      <c r="A106" s="83"/>
      <c r="B106" s="636"/>
      <c r="C106" s="55"/>
      <c r="D106" s="29" t="s">
        <v>85</v>
      </c>
      <c r="E106" s="177" t="s">
        <v>12</v>
      </c>
      <c r="F106" s="271">
        <v>23.2</v>
      </c>
      <c r="G106" s="650" t="s">
        <v>86</v>
      </c>
      <c r="H106" s="650"/>
      <c r="I106" s="650"/>
      <c r="J106" s="650"/>
    </row>
    <row r="107" spans="1:10" ht="16.5" customHeight="1" x14ac:dyDescent="0.25">
      <c r="A107" s="83"/>
      <c r="B107" s="636"/>
      <c r="C107" s="55"/>
      <c r="D107" s="630" t="s">
        <v>113</v>
      </c>
      <c r="E107" s="59"/>
      <c r="F107" s="92"/>
      <c r="G107" s="650"/>
      <c r="H107" s="650"/>
      <c r="I107" s="650"/>
      <c r="J107" s="650"/>
    </row>
    <row r="108" spans="1:10" x14ac:dyDescent="0.25">
      <c r="A108" s="83"/>
      <c r="B108" s="636"/>
      <c r="C108" s="55"/>
      <c r="D108" s="630"/>
      <c r="E108" s="59"/>
      <c r="F108" s="31"/>
      <c r="G108" s="650"/>
      <c r="H108" s="650"/>
      <c r="I108" s="650"/>
      <c r="J108" s="650"/>
    </row>
    <row r="109" spans="1:10" x14ac:dyDescent="0.25">
      <c r="A109" s="83"/>
      <c r="B109" s="636"/>
      <c r="C109" s="55"/>
      <c r="D109" s="174"/>
      <c r="E109" s="59"/>
      <c r="F109" s="31"/>
      <c r="G109" s="39"/>
      <c r="H109" s="39"/>
      <c r="I109" s="39"/>
      <c r="J109" s="39"/>
    </row>
    <row r="110" spans="1:10" x14ac:dyDescent="0.25">
      <c r="A110" s="83"/>
      <c r="B110" s="636"/>
      <c r="C110" s="55"/>
      <c r="D110" s="29" t="s">
        <v>58</v>
      </c>
      <c r="E110" s="177"/>
      <c r="F110" s="271"/>
      <c r="G110" s="87"/>
      <c r="H110" s="39"/>
      <c r="I110" s="39"/>
      <c r="J110" s="39"/>
    </row>
    <row r="111" spans="1:10" ht="16.5" customHeight="1" x14ac:dyDescent="0.25">
      <c r="A111" s="83"/>
      <c r="B111" s="636"/>
      <c r="C111" s="55"/>
      <c r="D111" s="630" t="s">
        <v>363</v>
      </c>
      <c r="E111" s="59"/>
      <c r="F111" s="14"/>
      <c r="G111" s="40"/>
      <c r="H111" s="41"/>
      <c r="I111" s="42"/>
      <c r="J111" s="40"/>
    </row>
    <row r="112" spans="1:10" ht="16.5" customHeight="1" x14ac:dyDescent="0.25">
      <c r="A112" s="83"/>
      <c r="B112" s="636"/>
      <c r="C112" s="55"/>
      <c r="D112" s="630"/>
      <c r="E112" s="59"/>
      <c r="F112" s="14"/>
      <c r="G112" s="40"/>
      <c r="H112" s="41"/>
      <c r="I112" s="42"/>
      <c r="J112" s="40"/>
    </row>
    <row r="113" spans="1:10" ht="16.5" customHeight="1" x14ac:dyDescent="0.25">
      <c r="A113" s="83"/>
      <c r="B113" s="636"/>
      <c r="C113" s="55"/>
      <c r="D113" s="630"/>
      <c r="E113" s="59"/>
      <c r="F113" s="14"/>
      <c r="G113" s="40"/>
      <c r="H113" s="41"/>
      <c r="I113" s="42"/>
      <c r="J113" s="40"/>
    </row>
    <row r="114" spans="1:10" ht="16.5" customHeight="1" x14ac:dyDescent="0.25">
      <c r="A114" s="83"/>
      <c r="B114" s="636"/>
      <c r="C114" s="55"/>
      <c r="D114" s="630"/>
      <c r="E114" s="59"/>
      <c r="F114" s="14"/>
      <c r="G114" s="40"/>
      <c r="H114" s="41"/>
      <c r="I114" s="42"/>
      <c r="J114" s="40"/>
    </row>
    <row r="115" spans="1:10" ht="16.5" customHeight="1" x14ac:dyDescent="0.25">
      <c r="A115" s="83"/>
      <c r="B115" s="636"/>
      <c r="C115" s="55"/>
      <c r="D115" s="630"/>
      <c r="E115" s="59"/>
      <c r="F115" s="14"/>
      <c r="G115" s="40"/>
      <c r="H115" s="41"/>
      <c r="I115" s="42"/>
      <c r="J115" s="40"/>
    </row>
    <row r="116" spans="1:10" ht="16.5" customHeight="1" x14ac:dyDescent="0.25">
      <c r="A116" s="83"/>
      <c r="B116" s="636"/>
      <c r="C116" s="55"/>
      <c r="D116" s="630"/>
      <c r="E116" s="59"/>
      <c r="F116" s="14"/>
      <c r="G116" s="40"/>
      <c r="H116" s="41"/>
      <c r="I116" s="42"/>
      <c r="J116" s="40"/>
    </row>
    <row r="117" spans="1:10" ht="16.5" customHeight="1" x14ac:dyDescent="0.25">
      <c r="A117" s="83"/>
      <c r="B117" s="636"/>
      <c r="C117" s="55"/>
      <c r="D117" s="630"/>
      <c r="E117" s="59"/>
      <c r="F117" s="14"/>
      <c r="G117" s="40"/>
      <c r="H117" s="41"/>
      <c r="I117" s="42"/>
      <c r="J117" s="40"/>
    </row>
    <row r="118" spans="1:10" ht="16.5" customHeight="1" x14ac:dyDescent="0.25">
      <c r="A118" s="83"/>
      <c r="B118" s="636"/>
      <c r="C118" s="55"/>
      <c r="D118" s="630"/>
      <c r="E118" s="59"/>
      <c r="F118" s="14"/>
      <c r="G118" s="40"/>
      <c r="H118" s="41"/>
      <c r="I118" s="42"/>
      <c r="J118" s="40"/>
    </row>
    <row r="119" spans="1:10" ht="16.5" customHeight="1" x14ac:dyDescent="0.25">
      <c r="A119" s="83"/>
      <c r="B119" s="636"/>
      <c r="C119" s="55"/>
      <c r="D119" s="630" t="s">
        <v>79</v>
      </c>
      <c r="E119" s="59"/>
      <c r="F119" s="14"/>
      <c r="G119" s="40"/>
      <c r="H119" s="41"/>
      <c r="I119" s="42"/>
      <c r="J119" s="40"/>
    </row>
    <row r="120" spans="1:10" ht="16.5" customHeight="1" x14ac:dyDescent="0.25">
      <c r="A120" s="83"/>
      <c r="B120" s="636"/>
      <c r="C120" s="55"/>
      <c r="D120" s="630"/>
      <c r="E120" s="59"/>
      <c r="F120" s="14"/>
      <c r="G120" s="40"/>
      <c r="H120" s="41"/>
      <c r="I120" s="42"/>
      <c r="J120" s="40"/>
    </row>
    <row r="121" spans="1:10" ht="16.5" customHeight="1" x14ac:dyDescent="0.25">
      <c r="A121" s="83"/>
      <c r="B121" s="636"/>
      <c r="C121" s="55"/>
      <c r="D121" s="630"/>
      <c r="E121" s="59"/>
      <c r="F121" s="14"/>
      <c r="G121" s="40"/>
      <c r="H121" s="41"/>
      <c r="I121" s="42"/>
      <c r="J121" s="40"/>
    </row>
    <row r="122" spans="1:10" ht="16.5" customHeight="1" x14ac:dyDescent="0.25">
      <c r="A122" s="83"/>
      <c r="B122" s="636"/>
      <c r="C122" s="55"/>
      <c r="D122" s="630"/>
      <c r="E122" s="59"/>
      <c r="F122" s="14"/>
      <c r="G122" s="40"/>
      <c r="H122" s="41"/>
      <c r="I122" s="42"/>
      <c r="J122" s="40"/>
    </row>
    <row r="123" spans="1:10" ht="16.5" customHeight="1" x14ac:dyDescent="0.25">
      <c r="A123" s="83"/>
      <c r="B123" s="636"/>
      <c r="C123" s="55"/>
      <c r="D123" s="630"/>
      <c r="E123" s="59"/>
      <c r="F123" s="14"/>
      <c r="G123" s="40"/>
      <c r="H123" s="41"/>
      <c r="I123" s="42"/>
      <c r="J123" s="40"/>
    </row>
    <row r="124" spans="1:10" ht="16.5" customHeight="1" x14ac:dyDescent="0.25">
      <c r="A124" s="83"/>
      <c r="B124" s="636"/>
      <c r="C124" s="55"/>
      <c r="D124" s="630"/>
      <c r="E124" s="59"/>
      <c r="F124" s="14"/>
      <c r="G124" s="40"/>
      <c r="H124" s="41"/>
      <c r="I124" s="42"/>
      <c r="J124" s="40"/>
    </row>
    <row r="125" spans="1:10" ht="16.5" customHeight="1" x14ac:dyDescent="0.25">
      <c r="A125" s="83"/>
      <c r="B125" s="636"/>
      <c r="C125" s="55"/>
      <c r="D125" s="630"/>
      <c r="E125" s="59"/>
      <c r="F125" s="14"/>
      <c r="G125" s="40"/>
      <c r="H125" s="41"/>
      <c r="I125" s="42"/>
      <c r="J125" s="40"/>
    </row>
    <row r="126" spans="1:10" ht="17.25" x14ac:dyDescent="0.25">
      <c r="A126" s="83"/>
      <c r="B126" s="636"/>
      <c r="C126" s="55"/>
      <c r="D126" s="20" t="s">
        <v>67</v>
      </c>
      <c r="E126" s="59" t="s">
        <v>12</v>
      </c>
      <c r="F126" s="14">
        <f>F102-F106</f>
        <v>8221.5999999999985</v>
      </c>
      <c r="G126" s="40">
        <v>758000</v>
      </c>
      <c r="H126" s="41">
        <v>1</v>
      </c>
      <c r="I126" s="40">
        <f>F126*G126*H126</f>
        <v>6231972799.999999</v>
      </c>
    </row>
    <row r="127" spans="1:10" ht="33" x14ac:dyDescent="0.25">
      <c r="A127" s="83"/>
      <c r="B127" s="636"/>
      <c r="C127" s="55"/>
      <c r="D127" s="204" t="s">
        <v>133</v>
      </c>
      <c r="E127" s="59"/>
      <c r="F127" s="59"/>
      <c r="G127" s="43"/>
      <c r="H127" s="59"/>
      <c r="I127" s="59"/>
      <c r="J127" s="43"/>
    </row>
    <row r="128" spans="1:10" x14ac:dyDescent="0.25">
      <c r="A128" s="83"/>
      <c r="B128" s="215"/>
      <c r="C128" s="55"/>
      <c r="D128" s="281" t="s">
        <v>136</v>
      </c>
      <c r="E128" s="59"/>
      <c r="F128" s="59"/>
      <c r="G128" s="43"/>
      <c r="H128" s="59"/>
      <c r="I128" s="59"/>
      <c r="J128" s="43"/>
    </row>
    <row r="129" spans="1:10" x14ac:dyDescent="0.25">
      <c r="A129" s="83"/>
      <c r="B129" s="215"/>
      <c r="C129" s="55"/>
      <c r="D129" s="278" t="s">
        <v>132</v>
      </c>
      <c r="E129" s="279" t="s">
        <v>12</v>
      </c>
      <c r="F129" s="634" t="s">
        <v>70</v>
      </c>
      <c r="G129" s="634"/>
      <c r="H129" s="634"/>
      <c r="I129" s="634"/>
      <c r="J129" s="634"/>
    </row>
    <row r="130" spans="1:10" x14ac:dyDescent="0.25">
      <c r="A130" s="83"/>
      <c r="B130" s="215"/>
      <c r="C130" s="55"/>
      <c r="D130" s="278" t="s">
        <v>135</v>
      </c>
      <c r="E130" s="280"/>
      <c r="F130" s="634"/>
      <c r="G130" s="634"/>
      <c r="H130" s="634"/>
      <c r="I130" s="634"/>
      <c r="J130" s="634"/>
    </row>
    <row r="131" spans="1:10" x14ac:dyDescent="0.25">
      <c r="A131" s="83"/>
      <c r="B131" s="215"/>
      <c r="C131" s="55"/>
      <c r="D131" s="204"/>
      <c r="E131" s="59"/>
      <c r="F131" s="59"/>
      <c r="G131" s="43"/>
      <c r="H131" s="59"/>
      <c r="I131" s="59"/>
      <c r="J131" s="43"/>
    </row>
    <row r="132" spans="1:10" x14ac:dyDescent="0.25">
      <c r="A132" s="34"/>
      <c r="B132" s="91"/>
      <c r="C132" s="178"/>
      <c r="D132" s="29" t="s">
        <v>15</v>
      </c>
      <c r="E132" s="59"/>
      <c r="F132" s="14"/>
      <c r="G132" s="32"/>
      <c r="H132" s="32"/>
      <c r="I132" s="32"/>
      <c r="J132" s="47">
        <f>I133+I192</f>
        <v>572258393.08499992</v>
      </c>
    </row>
    <row r="133" spans="1:10" x14ac:dyDescent="0.25">
      <c r="A133" s="34"/>
      <c r="B133" s="91"/>
      <c r="C133" s="178"/>
      <c r="D133" s="29" t="s">
        <v>16</v>
      </c>
      <c r="E133" s="59"/>
      <c r="F133" s="14"/>
      <c r="G133" s="32"/>
      <c r="H133" s="48"/>
      <c r="I133" s="50">
        <f>SUM(I143:I191)</f>
        <v>570953393.08499992</v>
      </c>
      <c r="J133" s="32"/>
    </row>
    <row r="134" spans="1:10" ht="16.5" customHeight="1" x14ac:dyDescent="0.25">
      <c r="A134" s="34"/>
      <c r="B134" s="91"/>
      <c r="C134" s="178"/>
      <c r="D134" s="630" t="s">
        <v>71</v>
      </c>
      <c r="E134" s="59"/>
      <c r="F134" s="93"/>
      <c r="G134" s="38"/>
      <c r="H134" s="51"/>
      <c r="I134" s="46"/>
      <c r="J134" s="51"/>
    </row>
    <row r="135" spans="1:10" x14ac:dyDescent="0.25">
      <c r="A135" s="34"/>
      <c r="B135" s="91"/>
      <c r="C135" s="178"/>
      <c r="D135" s="630"/>
      <c r="E135" s="59"/>
      <c r="F135" s="93"/>
      <c r="G135" s="38"/>
      <c r="H135" s="51"/>
      <c r="I135" s="46"/>
      <c r="J135" s="51"/>
    </row>
    <row r="136" spans="1:10" x14ac:dyDescent="0.25">
      <c r="A136" s="34"/>
      <c r="B136" s="91"/>
      <c r="C136" s="178"/>
      <c r="D136" s="630"/>
      <c r="E136" s="59"/>
      <c r="F136" s="93"/>
      <c r="G136" s="38"/>
      <c r="H136" s="51"/>
      <c r="I136" s="46"/>
      <c r="J136" s="51"/>
    </row>
    <row r="137" spans="1:10" ht="16.5" customHeight="1" x14ac:dyDescent="0.25">
      <c r="A137" s="34"/>
      <c r="B137" s="91"/>
      <c r="C137" s="178"/>
      <c r="D137" s="630" t="s">
        <v>87</v>
      </c>
      <c r="E137" s="94"/>
      <c r="F137" s="95"/>
      <c r="G137" s="53"/>
      <c r="H137" s="54"/>
      <c r="I137" s="40"/>
      <c r="J137" s="96"/>
    </row>
    <row r="138" spans="1:10" x14ac:dyDescent="0.25">
      <c r="A138" s="34"/>
      <c r="B138" s="91"/>
      <c r="C138" s="178"/>
      <c r="D138" s="630"/>
      <c r="E138" s="94"/>
      <c r="F138" s="95"/>
      <c r="G138" s="53"/>
      <c r="H138" s="54"/>
      <c r="I138" s="40"/>
      <c r="J138" s="96"/>
    </row>
    <row r="139" spans="1:10" x14ac:dyDescent="0.25">
      <c r="A139" s="34"/>
      <c r="B139" s="91"/>
      <c r="C139" s="178"/>
      <c r="D139" s="630"/>
      <c r="E139" s="94"/>
      <c r="F139" s="95"/>
      <c r="G139" s="53"/>
      <c r="H139" s="54"/>
      <c r="I139" s="40"/>
      <c r="J139" s="96"/>
    </row>
    <row r="140" spans="1:10" x14ac:dyDescent="0.25">
      <c r="A140" s="34"/>
      <c r="B140" s="91"/>
      <c r="C140" s="178"/>
      <c r="D140" s="630"/>
      <c r="E140" s="94"/>
      <c r="F140" s="95"/>
      <c r="G140" s="53"/>
      <c r="H140" s="54"/>
      <c r="I140" s="40"/>
      <c r="J140" s="96"/>
    </row>
    <row r="141" spans="1:10" x14ac:dyDescent="0.25">
      <c r="A141" s="34"/>
      <c r="B141" s="91"/>
      <c r="C141" s="178"/>
      <c r="D141" s="630"/>
      <c r="E141" s="94"/>
      <c r="F141" s="95"/>
      <c r="G141" s="53"/>
      <c r="H141" s="54"/>
      <c r="I141" s="40"/>
      <c r="J141" s="96"/>
    </row>
    <row r="142" spans="1:10" x14ac:dyDescent="0.25">
      <c r="A142" s="34"/>
      <c r="B142" s="91"/>
      <c r="C142" s="178"/>
      <c r="D142" s="172" t="s">
        <v>116</v>
      </c>
      <c r="E142" s="94"/>
      <c r="F142" s="95"/>
      <c r="G142" s="53"/>
      <c r="H142" s="54"/>
      <c r="I142" s="54"/>
      <c r="J142" s="40"/>
    </row>
    <row r="143" spans="1:10" ht="16.5" customHeight="1" x14ac:dyDescent="0.25">
      <c r="A143" s="34"/>
      <c r="B143" s="91"/>
      <c r="C143" s="178"/>
      <c r="D143" s="651" t="s">
        <v>117</v>
      </c>
      <c r="E143" s="52" t="s">
        <v>120</v>
      </c>
      <c r="F143" s="95">
        <f>5*6.5</f>
        <v>32.5</v>
      </c>
      <c r="G143" s="53">
        <f>3958967*(1.12-0)</f>
        <v>4434043.04</v>
      </c>
      <c r="H143" s="54">
        <v>1</v>
      </c>
      <c r="I143" s="40">
        <f>H143*G143*F143</f>
        <v>144106398.80000001</v>
      </c>
    </row>
    <row r="144" spans="1:10" x14ac:dyDescent="0.25">
      <c r="A144" s="34"/>
      <c r="B144" s="91"/>
      <c r="C144" s="178"/>
      <c r="D144" s="651"/>
      <c r="E144" s="52"/>
      <c r="F144" s="95"/>
      <c r="G144" s="53"/>
      <c r="H144" s="54"/>
      <c r="I144" s="40"/>
    </row>
    <row r="145" spans="1:9" ht="16.5" customHeight="1" x14ac:dyDescent="0.25">
      <c r="A145" s="34"/>
      <c r="B145" s="91"/>
      <c r="C145" s="178"/>
      <c r="D145" s="640" t="s">
        <v>118</v>
      </c>
      <c r="E145" s="52"/>
      <c r="F145" s="95"/>
      <c r="G145" s="53"/>
      <c r="H145" s="97"/>
      <c r="I145" s="40"/>
    </row>
    <row r="146" spans="1:9" ht="16.5" customHeight="1" x14ac:dyDescent="0.25">
      <c r="A146" s="34"/>
      <c r="B146" s="91"/>
      <c r="C146" s="209"/>
      <c r="D146" s="640"/>
      <c r="E146" s="52"/>
      <c r="F146" s="95"/>
      <c r="G146" s="53"/>
      <c r="H146" s="97"/>
      <c r="I146" s="40"/>
    </row>
    <row r="147" spans="1:9" ht="16.5" customHeight="1" x14ac:dyDescent="0.25">
      <c r="A147" s="34"/>
      <c r="B147" s="91"/>
      <c r="C147" s="209"/>
      <c r="D147" s="640"/>
      <c r="E147" s="52"/>
      <c r="F147" s="95"/>
      <c r="G147" s="53"/>
      <c r="H147" s="97"/>
      <c r="I147" s="40"/>
    </row>
    <row r="148" spans="1:9" ht="16.5" customHeight="1" x14ac:dyDescent="0.25">
      <c r="A148" s="34"/>
      <c r="B148" s="91"/>
      <c r="C148" s="209"/>
      <c r="D148" s="640"/>
      <c r="E148" s="52"/>
      <c r="F148" s="95"/>
      <c r="G148" s="53"/>
      <c r="H148" s="97"/>
      <c r="I148" s="40"/>
    </row>
    <row r="149" spans="1:9" ht="16.5" customHeight="1" x14ac:dyDescent="0.25">
      <c r="A149" s="34"/>
      <c r="B149" s="91"/>
      <c r="C149" s="209"/>
      <c r="D149" s="640"/>
      <c r="E149" s="52"/>
      <c r="F149" s="95"/>
      <c r="G149" s="53"/>
      <c r="H149" s="97"/>
      <c r="I149" s="40"/>
    </row>
    <row r="150" spans="1:9" ht="33" customHeight="1" x14ac:dyDescent="0.25">
      <c r="A150" s="34"/>
      <c r="B150" s="91"/>
      <c r="C150" s="209"/>
      <c r="D150" s="640"/>
      <c r="E150" s="52"/>
      <c r="F150" s="95"/>
      <c r="G150" s="53"/>
      <c r="H150" s="97"/>
      <c r="I150" s="40"/>
    </row>
    <row r="151" spans="1:9" x14ac:dyDescent="0.25">
      <c r="A151" s="34"/>
      <c r="B151" s="91"/>
      <c r="C151" s="178"/>
      <c r="D151" s="640"/>
      <c r="E151" s="52"/>
      <c r="F151" s="95"/>
      <c r="G151" s="53"/>
      <c r="H151" s="97"/>
      <c r="I151" s="40"/>
    </row>
    <row r="152" spans="1:9" ht="33" x14ac:dyDescent="0.25">
      <c r="A152" s="34"/>
      <c r="B152" s="91"/>
      <c r="C152" s="209"/>
      <c r="D152" s="213" t="s">
        <v>121</v>
      </c>
      <c r="E152" s="52" t="s">
        <v>120</v>
      </c>
      <c r="F152" s="95">
        <f>2*5</f>
        <v>10</v>
      </c>
      <c r="G152" s="53">
        <v>741439</v>
      </c>
      <c r="H152" s="54">
        <v>1</v>
      </c>
      <c r="I152" s="40">
        <f>H152*G152*F152</f>
        <v>7414390</v>
      </c>
    </row>
    <row r="153" spans="1:9" ht="16.5" customHeight="1" x14ac:dyDescent="0.25">
      <c r="A153" s="34"/>
      <c r="B153" s="91"/>
      <c r="C153" s="209"/>
      <c r="D153" s="630" t="s">
        <v>119</v>
      </c>
      <c r="E153" s="52"/>
      <c r="F153" s="95"/>
      <c r="G153" s="53"/>
      <c r="H153" s="97"/>
      <c r="I153" s="40"/>
    </row>
    <row r="154" spans="1:9" x14ac:dyDescent="0.25">
      <c r="A154" s="34"/>
      <c r="B154" s="91"/>
      <c r="C154" s="209"/>
      <c r="D154" s="630"/>
      <c r="E154" s="52"/>
      <c r="F154" s="95"/>
      <c r="G154" s="53"/>
      <c r="H154" s="97"/>
      <c r="I154" s="40"/>
    </row>
    <row r="155" spans="1:9" ht="33" x14ac:dyDescent="0.25">
      <c r="A155" s="34"/>
      <c r="B155" s="91"/>
      <c r="C155" s="209"/>
      <c r="D155" s="209" t="s">
        <v>122</v>
      </c>
      <c r="E155" s="52" t="s">
        <v>123</v>
      </c>
      <c r="F155" s="95">
        <v>1</v>
      </c>
      <c r="G155" s="53">
        <v>2288897</v>
      </c>
      <c r="H155" s="97">
        <v>1</v>
      </c>
      <c r="I155" s="40">
        <f>H155*G155*F155</f>
        <v>2288897</v>
      </c>
    </row>
    <row r="156" spans="1:9" x14ac:dyDescent="0.25">
      <c r="A156" s="34"/>
      <c r="B156" s="91"/>
      <c r="C156" s="209"/>
      <c r="D156" s="630" t="s">
        <v>124</v>
      </c>
      <c r="E156" s="52"/>
      <c r="F156" s="95"/>
      <c r="G156" s="53"/>
      <c r="H156" s="97"/>
      <c r="I156" s="40"/>
    </row>
    <row r="157" spans="1:9" x14ac:dyDescent="0.25">
      <c r="A157" s="34"/>
      <c r="B157" s="91"/>
      <c r="C157" s="209"/>
      <c r="D157" s="630"/>
      <c r="E157" s="52"/>
      <c r="F157" s="95"/>
      <c r="G157" s="53"/>
      <c r="H157" s="97"/>
      <c r="I157" s="40"/>
    </row>
    <row r="158" spans="1:9" ht="33" x14ac:dyDescent="0.25">
      <c r="A158" s="34"/>
      <c r="B158" s="91"/>
      <c r="C158" s="209"/>
      <c r="D158" s="209" t="s">
        <v>125</v>
      </c>
      <c r="E158" s="52" t="s">
        <v>72</v>
      </c>
      <c r="F158" s="95">
        <f>1.3*1.3*3.1</f>
        <v>5.2390000000000008</v>
      </c>
      <c r="G158" s="53">
        <f>3256300*(1-0.085)</f>
        <v>2979514.5</v>
      </c>
      <c r="H158" s="97">
        <v>1</v>
      </c>
      <c r="I158" s="40">
        <f>H158*G158*F158</f>
        <v>15609676.465500003</v>
      </c>
    </row>
    <row r="159" spans="1:9" x14ac:dyDescent="0.25">
      <c r="A159" s="34"/>
      <c r="B159" s="91"/>
      <c r="C159" s="209"/>
      <c r="D159" s="630" t="s">
        <v>126</v>
      </c>
      <c r="E159" s="52"/>
      <c r="F159" s="95"/>
      <c r="G159" s="53"/>
      <c r="H159" s="97"/>
      <c r="I159" s="40"/>
    </row>
    <row r="160" spans="1:9" x14ac:dyDescent="0.25">
      <c r="A160" s="34"/>
      <c r="B160" s="91"/>
      <c r="C160" s="209"/>
      <c r="D160" s="630"/>
      <c r="E160" s="52"/>
      <c r="F160" s="95"/>
      <c r="G160" s="53"/>
      <c r="H160" s="97"/>
      <c r="I160" s="40"/>
    </row>
    <row r="161" spans="1:9" x14ac:dyDescent="0.25">
      <c r="A161" s="34"/>
      <c r="B161" s="91"/>
      <c r="C161" s="209"/>
      <c r="D161" s="630"/>
      <c r="E161" s="52"/>
      <c r="F161" s="95"/>
      <c r="G161" s="53"/>
      <c r="H161" s="97"/>
      <c r="I161" s="40"/>
    </row>
    <row r="162" spans="1:9" x14ac:dyDescent="0.25">
      <c r="A162" s="34"/>
      <c r="B162" s="91"/>
      <c r="C162" s="209"/>
      <c r="D162" s="630"/>
      <c r="E162" s="52"/>
      <c r="F162" s="95"/>
      <c r="G162" s="53"/>
      <c r="H162" s="97"/>
      <c r="I162" s="40"/>
    </row>
    <row r="163" spans="1:9" x14ac:dyDescent="0.25">
      <c r="A163" s="34"/>
      <c r="B163" s="91"/>
      <c r="C163" s="209"/>
      <c r="D163" s="630"/>
      <c r="E163" s="52"/>
      <c r="F163" s="95"/>
      <c r="G163" s="53"/>
      <c r="H163" s="97"/>
      <c r="I163" s="40"/>
    </row>
    <row r="164" spans="1:9" x14ac:dyDescent="0.25">
      <c r="A164" s="34"/>
      <c r="B164" s="91"/>
      <c r="C164" s="209"/>
      <c r="D164" s="213" t="s">
        <v>127</v>
      </c>
      <c r="E164" s="52" t="s">
        <v>129</v>
      </c>
      <c r="F164" s="95">
        <f>30*5</f>
        <v>150</v>
      </c>
      <c r="G164" s="53">
        <v>1016519</v>
      </c>
      <c r="H164" s="97">
        <v>1</v>
      </c>
      <c r="I164" s="40">
        <f>H164*G164*F164</f>
        <v>152477850</v>
      </c>
    </row>
    <row r="165" spans="1:9" x14ac:dyDescent="0.25">
      <c r="A165" s="34"/>
      <c r="B165" s="91"/>
      <c r="C165" s="209"/>
      <c r="D165" s="630" t="s">
        <v>128</v>
      </c>
      <c r="E165" s="52"/>
      <c r="F165" s="95"/>
      <c r="G165" s="53"/>
      <c r="H165" s="97"/>
      <c r="I165" s="40"/>
    </row>
    <row r="166" spans="1:9" x14ac:dyDescent="0.25">
      <c r="A166" s="34"/>
      <c r="B166" s="91"/>
      <c r="C166" s="209"/>
      <c r="D166" s="630"/>
      <c r="E166" s="52"/>
      <c r="F166" s="95"/>
      <c r="G166" s="53"/>
      <c r="H166" s="97"/>
      <c r="I166" s="40"/>
    </row>
    <row r="167" spans="1:9" ht="33" x14ac:dyDescent="0.25">
      <c r="A167" s="34"/>
      <c r="B167" s="91"/>
      <c r="C167" s="209"/>
      <c r="D167" s="213" t="s">
        <v>130</v>
      </c>
      <c r="E167" s="52" t="s">
        <v>120</v>
      </c>
      <c r="F167" s="95">
        <f>1.6*2.4</f>
        <v>3.84</v>
      </c>
      <c r="G167" s="53">
        <v>6960234</v>
      </c>
      <c r="H167" s="97">
        <v>1</v>
      </c>
      <c r="I167" s="40">
        <f>H167*G167*F167</f>
        <v>26727298.559999999</v>
      </c>
    </row>
    <row r="168" spans="1:9" x14ac:dyDescent="0.25">
      <c r="A168" s="34"/>
      <c r="B168" s="91"/>
      <c r="C168" s="209"/>
      <c r="D168" s="630" t="s">
        <v>131</v>
      </c>
      <c r="E168" s="52"/>
      <c r="F168" s="95"/>
      <c r="G168" s="53"/>
      <c r="H168" s="97"/>
      <c r="I168" s="40"/>
    </row>
    <row r="169" spans="1:9" x14ac:dyDescent="0.25">
      <c r="A169" s="34"/>
      <c r="B169" s="91"/>
      <c r="C169" s="209"/>
      <c r="D169" s="630"/>
      <c r="E169" s="52"/>
      <c r="F169" s="95"/>
      <c r="G169" s="53"/>
      <c r="H169" s="97"/>
      <c r="I169" s="40"/>
    </row>
    <row r="170" spans="1:9" x14ac:dyDescent="0.25">
      <c r="A170" s="34"/>
      <c r="B170" s="91"/>
      <c r="C170" s="209"/>
      <c r="D170" s="172" t="s">
        <v>134</v>
      </c>
      <c r="E170" s="52"/>
      <c r="F170" s="95"/>
      <c r="G170" s="53"/>
      <c r="H170" s="97"/>
      <c r="I170" s="40"/>
    </row>
    <row r="171" spans="1:9" x14ac:dyDescent="0.25">
      <c r="A171" s="34"/>
      <c r="B171" s="91"/>
      <c r="C171" s="209"/>
      <c r="D171" s="213" t="s">
        <v>137</v>
      </c>
      <c r="E171" s="52" t="s">
        <v>72</v>
      </c>
      <c r="F171" s="95">
        <f>(4.1*0.1*3)*2</f>
        <v>2.46</v>
      </c>
      <c r="G171" s="53">
        <v>3975098</v>
      </c>
      <c r="H171" s="97">
        <v>1</v>
      </c>
      <c r="I171" s="40">
        <f>H171*G171*F171</f>
        <v>9778741.0800000001</v>
      </c>
    </row>
    <row r="172" spans="1:9" x14ac:dyDescent="0.25">
      <c r="A172" s="34"/>
      <c r="B172" s="91"/>
      <c r="C172" s="209"/>
      <c r="D172" s="630" t="s">
        <v>138</v>
      </c>
      <c r="E172" s="52"/>
      <c r="F172" s="95"/>
      <c r="G172" s="53"/>
      <c r="H172" s="97"/>
      <c r="I172" s="40"/>
    </row>
    <row r="173" spans="1:9" x14ac:dyDescent="0.25">
      <c r="A173" s="34"/>
      <c r="B173" s="91"/>
      <c r="C173" s="209"/>
      <c r="D173" s="630"/>
      <c r="E173" s="52"/>
      <c r="F173" s="95"/>
      <c r="G173" s="53"/>
      <c r="H173" s="97"/>
      <c r="I173" s="40"/>
    </row>
    <row r="174" spans="1:9" x14ac:dyDescent="0.25">
      <c r="A174" s="34"/>
      <c r="B174" s="91"/>
      <c r="C174" s="209"/>
      <c r="D174" s="213" t="s">
        <v>139</v>
      </c>
      <c r="E174" s="52" t="s">
        <v>72</v>
      </c>
      <c r="F174" s="95">
        <f>47.15*4*0.1</f>
        <v>18.86</v>
      </c>
      <c r="G174" s="53">
        <v>5013227</v>
      </c>
      <c r="H174" s="97">
        <v>1</v>
      </c>
      <c r="I174" s="40">
        <f>H174*G174*F174</f>
        <v>94549461.219999999</v>
      </c>
    </row>
    <row r="175" spans="1:9" x14ac:dyDescent="0.25">
      <c r="A175" s="34"/>
      <c r="B175" s="91"/>
      <c r="C175" s="209"/>
      <c r="D175" s="630" t="s">
        <v>140</v>
      </c>
      <c r="E175" s="52"/>
      <c r="F175" s="95"/>
      <c r="G175" s="53"/>
      <c r="H175" s="97"/>
      <c r="I175" s="40"/>
    </row>
    <row r="176" spans="1:9" x14ac:dyDescent="0.25">
      <c r="A176" s="34"/>
      <c r="B176" s="91"/>
      <c r="C176" s="209"/>
      <c r="D176" s="630"/>
      <c r="E176" s="52"/>
      <c r="F176" s="95"/>
      <c r="G176" s="53"/>
      <c r="H176" s="97"/>
      <c r="I176" s="40"/>
    </row>
    <row r="177" spans="1:9" x14ac:dyDescent="0.25">
      <c r="A177" s="34"/>
      <c r="B177" s="91"/>
      <c r="C177" s="209"/>
      <c r="D177" s="213" t="s">
        <v>141</v>
      </c>
      <c r="E177" s="52" t="s">
        <v>129</v>
      </c>
      <c r="F177" s="95">
        <f>30*2</f>
        <v>60</v>
      </c>
      <c r="G177" s="53">
        <v>1016519</v>
      </c>
      <c r="H177" s="97">
        <v>1</v>
      </c>
      <c r="I177" s="40">
        <f>H177*G177*F177</f>
        <v>60991140</v>
      </c>
    </row>
    <row r="178" spans="1:9" x14ac:dyDescent="0.25">
      <c r="A178" s="34"/>
      <c r="B178" s="91"/>
      <c r="C178" s="209"/>
      <c r="D178" s="630" t="s">
        <v>128</v>
      </c>
      <c r="E178" s="52"/>
      <c r="F178" s="95"/>
      <c r="G178" s="53"/>
      <c r="H178" s="97"/>
      <c r="I178" s="40"/>
    </row>
    <row r="179" spans="1:9" x14ac:dyDescent="0.25">
      <c r="A179" s="34"/>
      <c r="B179" s="91"/>
      <c r="C179" s="209"/>
      <c r="D179" s="630"/>
      <c r="E179" s="52"/>
      <c r="F179" s="95"/>
      <c r="G179" s="53"/>
      <c r="H179" s="97"/>
      <c r="I179" s="40"/>
    </row>
    <row r="180" spans="1:9" ht="20.25" customHeight="1" x14ac:dyDescent="0.25">
      <c r="A180" s="34"/>
      <c r="B180" s="91"/>
      <c r="C180" s="209"/>
      <c r="D180" s="211" t="s">
        <v>142</v>
      </c>
      <c r="E180" s="282" t="s">
        <v>12</v>
      </c>
      <c r="F180" s="283">
        <f>1.7*4.5</f>
        <v>7.6499999999999995</v>
      </c>
      <c r="G180" s="284">
        <f>3574642*(1-0.085)</f>
        <v>3270797.43</v>
      </c>
      <c r="H180" s="285">
        <v>1</v>
      </c>
      <c r="I180" s="32">
        <f>H180*G180*F180</f>
        <v>25021600.339499999</v>
      </c>
    </row>
    <row r="181" spans="1:9" x14ac:dyDescent="0.25">
      <c r="A181" s="34"/>
      <c r="B181" s="91"/>
      <c r="C181" s="209"/>
      <c r="D181" s="630" t="s">
        <v>143</v>
      </c>
      <c r="E181" s="52"/>
      <c r="F181" s="95"/>
      <c r="G181" s="53"/>
      <c r="H181" s="97"/>
      <c r="I181" s="40"/>
    </row>
    <row r="182" spans="1:9" x14ac:dyDescent="0.25">
      <c r="A182" s="34"/>
      <c r="B182" s="91"/>
      <c r="C182" s="209"/>
      <c r="D182" s="630"/>
      <c r="E182" s="52"/>
      <c r="F182" s="95"/>
      <c r="G182" s="53"/>
      <c r="H182" s="97"/>
      <c r="I182" s="40"/>
    </row>
    <row r="183" spans="1:9" x14ac:dyDescent="0.25">
      <c r="A183" s="34"/>
      <c r="B183" s="91"/>
      <c r="C183" s="209"/>
      <c r="D183" s="630"/>
      <c r="E183" s="52"/>
      <c r="F183" s="95"/>
      <c r="G183" s="53"/>
      <c r="H183" s="97"/>
      <c r="I183" s="40"/>
    </row>
    <row r="184" spans="1:9" x14ac:dyDescent="0.25">
      <c r="A184" s="34"/>
      <c r="B184" s="91"/>
      <c r="C184" s="209"/>
      <c r="D184" s="630"/>
      <c r="E184" s="52"/>
      <c r="F184" s="95"/>
      <c r="G184" s="53"/>
      <c r="H184" s="97"/>
      <c r="I184" s="40"/>
    </row>
    <row r="185" spans="1:9" x14ac:dyDescent="0.25">
      <c r="A185" s="34"/>
      <c r="B185" s="91"/>
      <c r="C185" s="209"/>
      <c r="D185" s="630"/>
      <c r="E185" s="52"/>
      <c r="F185" s="95"/>
      <c r="G185" s="53"/>
      <c r="H185" s="97"/>
      <c r="I185" s="40"/>
    </row>
    <row r="186" spans="1:9" x14ac:dyDescent="0.25">
      <c r="A186" s="34"/>
      <c r="B186" s="91"/>
      <c r="C186" s="178"/>
      <c r="D186" s="211" t="s">
        <v>144</v>
      </c>
      <c r="E186" s="52" t="s">
        <v>145</v>
      </c>
      <c r="F186" s="95">
        <v>47</v>
      </c>
      <c r="G186" s="53">
        <f>627276*(1+0.085)</f>
        <v>680594.46</v>
      </c>
      <c r="H186" s="54">
        <v>1</v>
      </c>
      <c r="I186" s="40">
        <f>H186*G186*F186</f>
        <v>31987939.619999997</v>
      </c>
    </row>
    <row r="187" spans="1:9" ht="16.5" customHeight="1" x14ac:dyDescent="0.25">
      <c r="A187" s="34"/>
      <c r="B187" s="91"/>
      <c r="C187" s="178"/>
      <c r="D187" s="630" t="s">
        <v>146</v>
      </c>
      <c r="E187" s="94"/>
      <c r="F187" s="95"/>
      <c r="G187" s="53"/>
      <c r="H187" s="97"/>
      <c r="I187" s="40"/>
    </row>
    <row r="188" spans="1:9" ht="16.5" customHeight="1" x14ac:dyDescent="0.25">
      <c r="A188" s="34"/>
      <c r="B188" s="91"/>
      <c r="C188" s="209"/>
      <c r="D188" s="630"/>
      <c r="E188" s="94"/>
      <c r="F188" s="95"/>
      <c r="G188" s="53"/>
      <c r="H188" s="97"/>
      <c r="I188" s="40"/>
    </row>
    <row r="189" spans="1:9" ht="16.5" customHeight="1" x14ac:dyDescent="0.25">
      <c r="A189" s="34"/>
      <c r="B189" s="91"/>
      <c r="C189" s="209"/>
      <c r="D189" s="630"/>
      <c r="E189" s="94"/>
      <c r="F189" s="95"/>
      <c r="G189" s="53"/>
      <c r="H189" s="97"/>
      <c r="I189" s="40"/>
    </row>
    <row r="190" spans="1:9" ht="16.5" customHeight="1" x14ac:dyDescent="0.25">
      <c r="A190" s="34"/>
      <c r="B190" s="91"/>
      <c r="C190" s="209"/>
      <c r="D190" s="630"/>
      <c r="E190" s="94"/>
      <c r="F190" s="95"/>
      <c r="G190" s="53"/>
      <c r="H190" s="97"/>
      <c r="I190" s="40"/>
    </row>
    <row r="191" spans="1:9" x14ac:dyDescent="0.25">
      <c r="A191" s="34"/>
      <c r="B191" s="91"/>
      <c r="C191" s="178"/>
      <c r="D191" s="630"/>
      <c r="E191" s="94"/>
      <c r="F191" s="95"/>
      <c r="G191" s="53"/>
      <c r="H191" s="97"/>
      <c r="I191" s="40"/>
    </row>
    <row r="192" spans="1:9" x14ac:dyDescent="0.25">
      <c r="A192" s="34"/>
      <c r="B192" s="91"/>
      <c r="C192" s="13"/>
      <c r="D192" s="60" t="s">
        <v>73</v>
      </c>
      <c r="E192" s="59"/>
      <c r="F192" s="98"/>
      <c r="G192" s="45"/>
      <c r="H192" s="41"/>
      <c r="I192" s="70">
        <f>SUM(I201:I211)</f>
        <v>1305000</v>
      </c>
    </row>
    <row r="193" spans="1:10" x14ac:dyDescent="0.25">
      <c r="A193" s="34"/>
      <c r="B193" s="91"/>
      <c r="C193" s="13"/>
      <c r="D193" s="176" t="s">
        <v>88</v>
      </c>
      <c r="E193" s="89"/>
      <c r="F193" s="274"/>
      <c r="G193" s="99"/>
      <c r="H193" s="99"/>
      <c r="I193" s="99"/>
    </row>
    <row r="194" spans="1:10" ht="16.5" customHeight="1" x14ac:dyDescent="0.25">
      <c r="A194" s="34"/>
      <c r="B194" s="91"/>
      <c r="C194" s="13"/>
      <c r="D194" s="643" t="s">
        <v>92</v>
      </c>
      <c r="E194" s="89"/>
      <c r="F194" s="274"/>
      <c r="G194" s="99"/>
      <c r="H194" s="99"/>
      <c r="I194" s="99"/>
    </row>
    <row r="195" spans="1:10" x14ac:dyDescent="0.25">
      <c r="A195" s="34"/>
      <c r="B195" s="91"/>
      <c r="C195" s="13"/>
      <c r="D195" s="643"/>
      <c r="E195" s="89"/>
      <c r="F195" s="274"/>
      <c r="G195" s="99"/>
      <c r="H195" s="99"/>
      <c r="I195" s="99"/>
    </row>
    <row r="196" spans="1:10" x14ac:dyDescent="0.25">
      <c r="A196" s="34"/>
      <c r="B196" s="91"/>
      <c r="C196" s="13"/>
      <c r="D196" s="643"/>
      <c r="E196" s="89"/>
      <c r="F196" s="274"/>
      <c r="G196" s="99"/>
      <c r="H196" s="99"/>
      <c r="I196" s="99"/>
    </row>
    <row r="197" spans="1:10" x14ac:dyDescent="0.25">
      <c r="A197" s="34"/>
      <c r="B197" s="91"/>
      <c r="C197" s="13"/>
      <c r="D197" s="643"/>
      <c r="E197" s="89"/>
      <c r="F197" s="274"/>
      <c r="G197" s="99"/>
      <c r="H197" s="99"/>
      <c r="I197" s="99"/>
    </row>
    <row r="198" spans="1:10" x14ac:dyDescent="0.25">
      <c r="A198" s="34"/>
      <c r="B198" s="91"/>
      <c r="C198" s="13"/>
      <c r="D198" s="643"/>
      <c r="E198" s="89"/>
      <c r="F198" s="274"/>
      <c r="G198" s="99"/>
      <c r="H198" s="99"/>
      <c r="I198" s="99"/>
    </row>
    <row r="199" spans="1:10" x14ac:dyDescent="0.25">
      <c r="A199" s="83"/>
      <c r="B199" s="100"/>
      <c r="C199" s="101"/>
      <c r="D199" s="643"/>
      <c r="E199" s="89"/>
      <c r="F199" s="274"/>
      <c r="G199" s="99"/>
      <c r="H199" s="99"/>
      <c r="I199" s="99"/>
      <c r="J199" s="84"/>
    </row>
    <row r="200" spans="1:10" x14ac:dyDescent="0.25">
      <c r="A200" s="83"/>
      <c r="B200" s="100"/>
      <c r="C200" s="101"/>
      <c r="D200" s="214"/>
      <c r="E200" s="89"/>
      <c r="F200" s="274"/>
      <c r="G200" s="99"/>
      <c r="H200" s="99"/>
      <c r="I200" s="99"/>
      <c r="J200" s="84"/>
    </row>
    <row r="201" spans="1:10" x14ac:dyDescent="0.25">
      <c r="A201" s="83"/>
      <c r="B201" s="100"/>
      <c r="C201" s="101"/>
      <c r="D201" s="215" t="s">
        <v>116</v>
      </c>
      <c r="E201" s="94"/>
      <c r="F201" s="59"/>
      <c r="G201" s="48"/>
      <c r="H201" s="103"/>
      <c r="I201" s="48"/>
      <c r="J201" s="84"/>
    </row>
    <row r="202" spans="1:10" x14ac:dyDescent="0.25">
      <c r="A202" s="83"/>
      <c r="B202" s="100"/>
      <c r="C202" s="101"/>
      <c r="D202" s="104" t="s">
        <v>147</v>
      </c>
      <c r="E202" s="56" t="s">
        <v>61</v>
      </c>
      <c r="F202" s="275">
        <v>4</v>
      </c>
      <c r="G202" s="106">
        <v>154000</v>
      </c>
      <c r="H202" s="107">
        <v>1</v>
      </c>
      <c r="I202" s="105">
        <f>H202*G202*F202</f>
        <v>616000</v>
      </c>
      <c r="J202" s="84"/>
    </row>
    <row r="203" spans="1:10" x14ac:dyDescent="0.25">
      <c r="A203" s="83"/>
      <c r="B203" s="100"/>
      <c r="C203" s="101"/>
      <c r="D203" s="286" t="s">
        <v>148</v>
      </c>
      <c r="E203" s="56"/>
      <c r="F203" s="275"/>
      <c r="G203" s="106"/>
      <c r="H203" s="107"/>
      <c r="I203" s="105"/>
      <c r="J203" s="84"/>
    </row>
    <row r="204" spans="1:10" x14ac:dyDescent="0.25">
      <c r="A204" s="83"/>
      <c r="B204" s="100"/>
      <c r="C204" s="101"/>
      <c r="D204" s="104" t="s">
        <v>149</v>
      </c>
      <c r="E204" s="56" t="s">
        <v>61</v>
      </c>
      <c r="F204" s="275">
        <v>1</v>
      </c>
      <c r="G204" s="106">
        <v>53000</v>
      </c>
      <c r="H204" s="107">
        <v>1</v>
      </c>
      <c r="I204" s="105">
        <f>H204*G204*F204</f>
        <v>53000</v>
      </c>
      <c r="J204" s="84"/>
    </row>
    <row r="205" spans="1:10" x14ac:dyDescent="0.25">
      <c r="A205" s="83"/>
      <c r="B205" s="100"/>
      <c r="C205" s="101"/>
      <c r="D205" s="286" t="s">
        <v>150</v>
      </c>
      <c r="E205" s="56"/>
      <c r="F205" s="275"/>
      <c r="G205" s="106"/>
      <c r="H205" s="107"/>
      <c r="I205" s="105"/>
      <c r="J205" s="84"/>
    </row>
    <row r="206" spans="1:10" x14ac:dyDescent="0.25">
      <c r="A206" s="83"/>
      <c r="B206" s="100"/>
      <c r="C206" s="101"/>
      <c r="D206" s="104" t="s">
        <v>151</v>
      </c>
      <c r="E206" s="56" t="s">
        <v>61</v>
      </c>
      <c r="F206" s="275">
        <v>2</v>
      </c>
      <c r="G206" s="106">
        <v>53000</v>
      </c>
      <c r="H206" s="107">
        <v>1</v>
      </c>
      <c r="I206" s="105">
        <f>H206*G206*F206</f>
        <v>106000</v>
      </c>
      <c r="J206" s="84"/>
    </row>
    <row r="207" spans="1:10" x14ac:dyDescent="0.25">
      <c r="A207" s="83"/>
      <c r="B207" s="100"/>
      <c r="C207" s="101"/>
      <c r="D207" s="286" t="s">
        <v>150</v>
      </c>
      <c r="E207" s="56"/>
      <c r="F207" s="275"/>
      <c r="G207" s="106"/>
      <c r="H207" s="107"/>
      <c r="I207" s="105"/>
      <c r="J207" s="84"/>
    </row>
    <row r="208" spans="1:10" x14ac:dyDescent="0.25">
      <c r="A208" s="83"/>
      <c r="B208" s="100"/>
      <c r="C208" s="101"/>
      <c r="D208" s="104" t="s">
        <v>152</v>
      </c>
      <c r="E208" s="56" t="s">
        <v>61</v>
      </c>
      <c r="F208" s="275">
        <v>8</v>
      </c>
      <c r="G208" s="106">
        <v>53000</v>
      </c>
      <c r="H208" s="107">
        <v>1</v>
      </c>
      <c r="I208" s="105">
        <f>H208*G208*F208</f>
        <v>424000</v>
      </c>
      <c r="J208" s="84"/>
    </row>
    <row r="209" spans="1:10" x14ac:dyDescent="0.25">
      <c r="A209" s="83"/>
      <c r="B209" s="100"/>
      <c r="C209" s="101"/>
      <c r="D209" s="286" t="s">
        <v>150</v>
      </c>
      <c r="E209" s="56"/>
      <c r="F209" s="275"/>
      <c r="G209" s="106"/>
      <c r="H209" s="107"/>
      <c r="I209" s="105"/>
      <c r="J209" s="84"/>
    </row>
    <row r="210" spans="1:10" x14ac:dyDescent="0.25">
      <c r="A210" s="83"/>
      <c r="B210" s="100"/>
      <c r="C210" s="101"/>
      <c r="D210" s="102" t="s">
        <v>134</v>
      </c>
      <c r="E210" s="56"/>
      <c r="F210" s="275"/>
      <c r="G210" s="106"/>
      <c r="H210" s="107"/>
      <c r="I210" s="105"/>
      <c r="J210" s="84"/>
    </row>
    <row r="211" spans="1:10" x14ac:dyDescent="0.25">
      <c r="A211" s="83"/>
      <c r="B211" s="100"/>
      <c r="C211" s="101"/>
      <c r="D211" s="104" t="s">
        <v>151</v>
      </c>
      <c r="E211" s="56" t="s">
        <v>61</v>
      </c>
      <c r="F211" s="275">
        <v>2</v>
      </c>
      <c r="G211" s="106">
        <v>53000</v>
      </c>
      <c r="H211" s="107">
        <v>1</v>
      </c>
      <c r="I211" s="105">
        <f>H211*G211*F211</f>
        <v>106000</v>
      </c>
      <c r="J211" s="84"/>
    </row>
    <row r="212" spans="1:10" x14ac:dyDescent="0.25">
      <c r="A212" s="83"/>
      <c r="B212" s="100"/>
      <c r="C212" s="101"/>
      <c r="D212" s="286" t="s">
        <v>150</v>
      </c>
      <c r="E212" s="56"/>
      <c r="F212" s="275"/>
      <c r="G212" s="106"/>
      <c r="H212" s="107"/>
      <c r="I212" s="105"/>
      <c r="J212" s="84"/>
    </row>
    <row r="213" spans="1:10" x14ac:dyDescent="0.25">
      <c r="A213" s="83"/>
      <c r="B213" s="100"/>
      <c r="C213" s="101"/>
      <c r="D213" s="286"/>
      <c r="E213" s="56"/>
      <c r="F213" s="275"/>
      <c r="G213" s="106"/>
      <c r="H213" s="107"/>
      <c r="I213" s="105"/>
      <c r="J213" s="84"/>
    </row>
    <row r="214" spans="1:10" x14ac:dyDescent="0.25">
      <c r="A214" s="83"/>
      <c r="B214" s="100"/>
      <c r="C214" s="101"/>
      <c r="D214" s="68" t="s">
        <v>80</v>
      </c>
      <c r="E214" s="59"/>
      <c r="F214" s="14"/>
      <c r="G214" s="40"/>
      <c r="H214" s="69"/>
      <c r="I214" s="40"/>
      <c r="J214" s="47">
        <f>I222+I239</f>
        <v>2668636079.9999995</v>
      </c>
    </row>
    <row r="215" spans="1:10" x14ac:dyDescent="0.25">
      <c r="A215" s="83"/>
      <c r="B215" s="100"/>
      <c r="C215" s="101"/>
      <c r="D215" s="55" t="s">
        <v>81</v>
      </c>
      <c r="E215" s="59"/>
      <c r="F215" s="108"/>
      <c r="G215" s="109"/>
      <c r="H215" s="110"/>
      <c r="I215" s="71"/>
      <c r="J215" s="111"/>
    </row>
    <row r="216" spans="1:10" ht="16.5" customHeight="1" x14ac:dyDescent="0.25">
      <c r="A216" s="83"/>
      <c r="B216" s="100"/>
      <c r="C216" s="101"/>
      <c r="D216" s="614" t="s">
        <v>89</v>
      </c>
      <c r="E216" s="59"/>
      <c r="F216" s="98"/>
      <c r="G216" s="73"/>
      <c r="H216" s="73"/>
      <c r="I216" s="51"/>
      <c r="J216" s="99"/>
    </row>
    <row r="217" spans="1:10" x14ac:dyDescent="0.25">
      <c r="A217" s="83"/>
      <c r="B217" s="100"/>
      <c r="C217" s="101"/>
      <c r="D217" s="614"/>
      <c r="E217" s="59"/>
      <c r="F217" s="98"/>
      <c r="G217" s="73"/>
      <c r="H217" s="73"/>
      <c r="I217" s="51"/>
      <c r="J217" s="99"/>
    </row>
    <row r="218" spans="1:10" x14ac:dyDescent="0.25">
      <c r="A218" s="83"/>
      <c r="B218" s="100"/>
      <c r="C218" s="101"/>
      <c r="D218" s="614"/>
      <c r="E218" s="59"/>
      <c r="F218" s="98"/>
      <c r="G218" s="73"/>
      <c r="H218" s="73"/>
      <c r="I218" s="51"/>
      <c r="J218" s="99"/>
    </row>
    <row r="219" spans="1:10" x14ac:dyDescent="0.25">
      <c r="A219" s="83"/>
      <c r="B219" s="100"/>
      <c r="C219" s="101"/>
      <c r="D219" s="614"/>
      <c r="E219" s="59"/>
      <c r="F219" s="98"/>
      <c r="G219" s="73"/>
      <c r="H219" s="73"/>
      <c r="I219" s="51"/>
      <c r="J219" s="99"/>
    </row>
    <row r="220" spans="1:10" ht="18.75" customHeight="1" x14ac:dyDescent="0.25">
      <c r="A220" s="83"/>
      <c r="B220" s="100"/>
      <c r="C220" s="101"/>
      <c r="D220" s="614"/>
      <c r="E220" s="59"/>
      <c r="F220" s="98"/>
      <c r="G220" s="73"/>
      <c r="H220" s="73"/>
      <c r="I220" s="51"/>
      <c r="J220" s="99"/>
    </row>
    <row r="221" spans="1:10" ht="18.75" customHeight="1" x14ac:dyDescent="0.25">
      <c r="A221" s="83"/>
      <c r="B221" s="100"/>
      <c r="C221" s="101"/>
      <c r="D221" s="614"/>
      <c r="E221" s="59"/>
      <c r="F221" s="98"/>
      <c r="G221" s="73"/>
      <c r="H221" s="73"/>
      <c r="I221" s="51"/>
      <c r="J221" s="99"/>
    </row>
    <row r="222" spans="1:10" ht="16.5" customHeight="1" x14ac:dyDescent="0.25">
      <c r="A222" s="83"/>
      <c r="B222" s="100"/>
      <c r="C222" s="101"/>
      <c r="D222" s="603" t="s">
        <v>419</v>
      </c>
      <c r="E222" s="16" t="s">
        <v>59</v>
      </c>
      <c r="F222" s="71">
        <f>30*6*2</f>
        <v>360</v>
      </c>
      <c r="G222" s="18">
        <v>13438</v>
      </c>
      <c r="H222" s="19">
        <v>1</v>
      </c>
      <c r="I222" s="18">
        <f>F222*G222*H222</f>
        <v>4837680</v>
      </c>
      <c r="J222" s="86"/>
    </row>
    <row r="223" spans="1:10" x14ac:dyDescent="0.25">
      <c r="A223" s="83"/>
      <c r="B223" s="100"/>
      <c r="C223" s="101"/>
      <c r="D223" s="603"/>
      <c r="E223" s="16"/>
      <c r="F223" s="71"/>
      <c r="G223" s="18"/>
      <c r="H223" s="19"/>
      <c r="I223" s="18"/>
      <c r="J223" s="86"/>
    </row>
    <row r="224" spans="1:10" x14ac:dyDescent="0.25">
      <c r="A224" s="83"/>
      <c r="B224" s="100"/>
      <c r="C224" s="101"/>
      <c r="D224" s="603"/>
      <c r="E224" s="16"/>
      <c r="F224" s="71"/>
      <c r="G224" s="71"/>
      <c r="H224" s="19"/>
      <c r="I224" s="18"/>
      <c r="J224" s="86"/>
    </row>
    <row r="225" spans="1:10" x14ac:dyDescent="0.25">
      <c r="A225" s="83"/>
      <c r="B225" s="100"/>
      <c r="C225" s="101"/>
      <c r="D225" s="21" t="s">
        <v>17</v>
      </c>
      <c r="E225" s="59"/>
      <c r="F225" s="206"/>
      <c r="G225" s="49"/>
      <c r="H225" s="173"/>
      <c r="I225" s="173"/>
      <c r="J225" s="77"/>
    </row>
    <row r="226" spans="1:10" ht="16.5" customHeight="1" x14ac:dyDescent="0.25">
      <c r="A226" s="83"/>
      <c r="B226" s="100"/>
      <c r="C226" s="101"/>
      <c r="D226" s="613" t="s">
        <v>153</v>
      </c>
      <c r="E226" s="59"/>
      <c r="F226" s="276"/>
      <c r="G226" s="112"/>
      <c r="H226" s="112"/>
      <c r="I226" s="112"/>
      <c r="J226" s="112"/>
    </row>
    <row r="227" spans="1:10" x14ac:dyDescent="0.25">
      <c r="A227" s="83"/>
      <c r="B227" s="100"/>
      <c r="C227" s="101"/>
      <c r="D227" s="613"/>
      <c r="E227" s="59"/>
      <c r="F227" s="276"/>
      <c r="G227" s="112"/>
      <c r="H227" s="112"/>
      <c r="I227" s="112"/>
      <c r="J227" s="112"/>
    </row>
    <row r="228" spans="1:10" x14ac:dyDescent="0.25">
      <c r="A228" s="83"/>
      <c r="B228" s="100"/>
      <c r="C228" s="101"/>
      <c r="D228" s="613"/>
      <c r="E228" s="59"/>
      <c r="F228" s="276"/>
      <c r="G228" s="112"/>
      <c r="H228" s="112"/>
      <c r="I228" s="112"/>
      <c r="J228" s="112"/>
    </row>
    <row r="229" spans="1:10" x14ac:dyDescent="0.25">
      <c r="A229" s="83"/>
      <c r="B229" s="100"/>
      <c r="C229" s="101"/>
      <c r="D229" s="613"/>
      <c r="E229" s="59"/>
      <c r="F229" s="276"/>
      <c r="G229" s="112"/>
      <c r="H229" s="112"/>
      <c r="I229" s="112"/>
      <c r="J229" s="112"/>
    </row>
    <row r="230" spans="1:10" x14ac:dyDescent="0.25">
      <c r="A230" s="83"/>
      <c r="B230" s="100"/>
      <c r="C230" s="101"/>
      <c r="D230" s="614" t="s">
        <v>154</v>
      </c>
      <c r="E230" s="59"/>
      <c r="F230" s="276"/>
      <c r="G230" s="112"/>
      <c r="H230" s="112"/>
      <c r="I230" s="112"/>
      <c r="J230" s="112"/>
    </row>
    <row r="231" spans="1:10" ht="16.5" customHeight="1" x14ac:dyDescent="0.25">
      <c r="A231" s="83"/>
      <c r="B231" s="100"/>
      <c r="C231" s="101"/>
      <c r="D231" s="614"/>
      <c r="E231" s="59"/>
      <c r="F231" s="276"/>
      <c r="G231" s="112"/>
      <c r="H231" s="112"/>
      <c r="I231" s="112"/>
      <c r="J231" s="112"/>
    </row>
    <row r="232" spans="1:10" x14ac:dyDescent="0.25">
      <c r="A232" s="83"/>
      <c r="B232" s="100"/>
      <c r="C232" s="101"/>
      <c r="D232" s="614"/>
      <c r="E232" s="59"/>
      <c r="F232" s="276"/>
      <c r="G232" s="112"/>
      <c r="H232" s="112"/>
      <c r="I232" s="112"/>
      <c r="J232" s="112"/>
    </row>
    <row r="233" spans="1:10" x14ac:dyDescent="0.25">
      <c r="A233" s="83"/>
      <c r="B233" s="100"/>
      <c r="C233" s="101"/>
      <c r="D233" s="614"/>
      <c r="E233" s="59"/>
      <c r="F233" s="276"/>
      <c r="G233" s="112"/>
      <c r="H233" s="112"/>
      <c r="I233" s="112"/>
      <c r="J233" s="112"/>
    </row>
    <row r="234" spans="1:10" x14ac:dyDescent="0.25">
      <c r="A234" s="83"/>
      <c r="B234" s="100"/>
      <c r="C234" s="101"/>
      <c r="D234" s="614"/>
      <c r="E234" s="59"/>
      <c r="F234" s="276"/>
      <c r="G234" s="112"/>
      <c r="H234" s="112"/>
      <c r="I234" s="112"/>
      <c r="J234" s="112"/>
    </row>
    <row r="235" spans="1:10" x14ac:dyDescent="0.25">
      <c r="A235" s="83"/>
      <c r="B235" s="100"/>
      <c r="C235" s="101"/>
      <c r="D235" s="612" t="s">
        <v>155</v>
      </c>
      <c r="E235" s="59"/>
      <c r="F235" s="276"/>
      <c r="G235" s="112"/>
      <c r="H235" s="112"/>
      <c r="I235" s="112"/>
      <c r="J235" s="112"/>
    </row>
    <row r="236" spans="1:10" x14ac:dyDescent="0.25">
      <c r="A236" s="83"/>
      <c r="B236" s="100"/>
      <c r="C236" s="101"/>
      <c r="D236" s="612"/>
      <c r="E236" s="59"/>
      <c r="F236" s="276"/>
      <c r="G236" s="112"/>
      <c r="H236" s="112"/>
      <c r="I236" s="112"/>
      <c r="J236" s="112"/>
    </row>
    <row r="237" spans="1:10" x14ac:dyDescent="0.25">
      <c r="A237" s="83"/>
      <c r="B237" s="100"/>
      <c r="C237" s="101"/>
      <c r="D237" s="612"/>
      <c r="E237" s="59"/>
      <c r="F237" s="276"/>
      <c r="G237" s="112"/>
      <c r="H237" s="112"/>
      <c r="I237" s="112"/>
      <c r="J237" s="112"/>
    </row>
    <row r="238" spans="1:10" x14ac:dyDescent="0.25">
      <c r="A238" s="83"/>
      <c r="B238" s="100"/>
      <c r="C238" s="101"/>
      <c r="D238" s="76"/>
      <c r="E238" s="59"/>
      <c r="F238" s="276"/>
      <c r="G238" s="112"/>
      <c r="H238" s="112"/>
      <c r="I238" s="112"/>
      <c r="J238" s="112"/>
    </row>
    <row r="239" spans="1:10" ht="19.5" x14ac:dyDescent="0.25">
      <c r="A239" s="83"/>
      <c r="B239" s="100"/>
      <c r="C239" s="101"/>
      <c r="D239" s="113" t="s">
        <v>156</v>
      </c>
      <c r="E239" s="114" t="s">
        <v>90</v>
      </c>
      <c r="F239" s="273">
        <f>F126</f>
        <v>8221.5999999999985</v>
      </c>
      <c r="G239" s="115">
        <v>324000</v>
      </c>
      <c r="H239" s="116">
        <v>1</v>
      </c>
      <c r="I239" s="117">
        <f>F239*G239*H239</f>
        <v>2663798399.9999995</v>
      </c>
      <c r="J239" s="118"/>
    </row>
    <row r="240" spans="1:10" x14ac:dyDescent="0.25">
      <c r="A240" s="83"/>
      <c r="B240" s="100"/>
      <c r="C240" s="101"/>
      <c r="D240" s="172"/>
      <c r="E240" s="114"/>
      <c r="F240" s="119"/>
      <c r="G240" s="120"/>
      <c r="H240" s="121"/>
      <c r="I240" s="122"/>
      <c r="J240" s="123"/>
    </row>
    <row r="241" spans="1:10" x14ac:dyDescent="0.25">
      <c r="A241" s="83"/>
      <c r="B241" s="100"/>
      <c r="C241" s="101"/>
      <c r="D241" s="15" t="s">
        <v>57</v>
      </c>
      <c r="E241" s="78"/>
      <c r="F241" s="78"/>
      <c r="G241" s="79"/>
      <c r="H241" s="80"/>
      <c r="I241" s="80"/>
      <c r="J241" s="81"/>
    </row>
    <row r="242" spans="1:10" ht="16.5" customHeight="1" x14ac:dyDescent="0.25">
      <c r="A242" s="83"/>
      <c r="B242" s="100"/>
      <c r="C242" s="101"/>
      <c r="D242" s="640" t="s">
        <v>23</v>
      </c>
      <c r="E242" s="78"/>
      <c r="F242" s="641" t="s">
        <v>24</v>
      </c>
      <c r="G242" s="641"/>
      <c r="H242" s="641"/>
      <c r="I242" s="641"/>
      <c r="J242" s="641"/>
    </row>
    <row r="243" spans="1:10" x14ac:dyDescent="0.25">
      <c r="A243" s="83"/>
      <c r="B243" s="100"/>
      <c r="C243" s="101"/>
      <c r="D243" s="640"/>
      <c r="E243" s="94"/>
      <c r="F243" s="642"/>
      <c r="G243" s="642"/>
      <c r="H243" s="642"/>
      <c r="I243" s="642"/>
      <c r="J243" s="642"/>
    </row>
    <row r="244" spans="1:10" x14ac:dyDescent="0.25">
      <c r="A244" s="124"/>
      <c r="B244" s="125"/>
      <c r="C244" s="126"/>
      <c r="D244" s="127"/>
      <c r="E244" s="128"/>
      <c r="F244" s="277"/>
      <c r="G244" s="130"/>
      <c r="H244" s="131"/>
      <c r="I244" s="129"/>
      <c r="J244" s="132"/>
    </row>
    <row r="245" spans="1:10" s="442" customFormat="1" ht="16.5" customHeight="1" x14ac:dyDescent="0.25">
      <c r="A245" s="639" t="s">
        <v>22</v>
      </c>
      <c r="B245" s="639"/>
      <c r="C245" s="639"/>
      <c r="D245" s="639"/>
      <c r="E245" s="639"/>
      <c r="F245" s="639"/>
      <c r="G245" s="639"/>
      <c r="H245" s="639"/>
      <c r="I245" s="639"/>
      <c r="J245" s="164">
        <f>J94+J132+J214</f>
        <v>9472867273.0849991</v>
      </c>
    </row>
    <row r="246" spans="1:10" s="179" customFormat="1" ht="16.5" customHeight="1" x14ac:dyDescent="0.25">
      <c r="A246" s="532"/>
      <c r="B246" s="532"/>
      <c r="C246" s="532"/>
      <c r="D246" s="532"/>
      <c r="E246" s="532"/>
      <c r="F246" s="533"/>
      <c r="G246" s="532"/>
      <c r="H246" s="532"/>
      <c r="I246" s="532"/>
      <c r="J246" s="534"/>
    </row>
    <row r="247" spans="1:10" x14ac:dyDescent="0.25">
      <c r="A247" s="287" t="s">
        <v>347</v>
      </c>
      <c r="B247" s="578" t="s">
        <v>348</v>
      </c>
      <c r="C247" s="607" t="s">
        <v>157</v>
      </c>
      <c r="D247" s="288"/>
      <c r="E247" s="289"/>
      <c r="F247" s="290"/>
      <c r="G247" s="291"/>
      <c r="H247" s="292"/>
      <c r="I247" s="289"/>
      <c r="J247" s="293"/>
    </row>
    <row r="248" spans="1:10" x14ac:dyDescent="0.25">
      <c r="A248" s="294"/>
      <c r="B248" s="579"/>
      <c r="C248" s="608"/>
      <c r="D248" s="296" t="s">
        <v>11</v>
      </c>
      <c r="E248" s="297"/>
      <c r="F248" s="298"/>
      <c r="G248" s="299"/>
      <c r="H248" s="300"/>
      <c r="I248" s="301"/>
      <c r="J248" s="302">
        <f>SUM(I252:I294)</f>
        <v>3757927700.0000005</v>
      </c>
    </row>
    <row r="249" spans="1:10" x14ac:dyDescent="0.25">
      <c r="A249" s="303"/>
      <c r="B249" s="579"/>
      <c r="C249" s="608"/>
      <c r="D249" s="296" t="s">
        <v>158</v>
      </c>
      <c r="E249" s="304" t="s">
        <v>12</v>
      </c>
      <c r="F249" s="305">
        <v>5065.1000000000004</v>
      </c>
      <c r="G249" s="299"/>
      <c r="H249" s="300"/>
      <c r="I249" s="299"/>
      <c r="J249" s="306"/>
    </row>
    <row r="250" spans="1:10" x14ac:dyDescent="0.25">
      <c r="A250" s="303"/>
      <c r="B250" s="579"/>
      <c r="C250" s="608"/>
      <c r="D250" s="307" t="s">
        <v>13</v>
      </c>
      <c r="E250" s="297" t="s">
        <v>12</v>
      </c>
      <c r="F250" s="308">
        <v>5065.1000000000004</v>
      </c>
      <c r="G250" s="299"/>
      <c r="H250" s="300"/>
      <c r="I250" s="299"/>
      <c r="J250" s="306"/>
    </row>
    <row r="251" spans="1:10" x14ac:dyDescent="0.25">
      <c r="A251" s="303"/>
      <c r="B251" s="579"/>
      <c r="C251" s="608"/>
      <c r="D251" s="307" t="s">
        <v>14</v>
      </c>
      <c r="E251" s="297" t="s">
        <v>12</v>
      </c>
      <c r="F251" s="308">
        <f>F249-F250</f>
        <v>0</v>
      </c>
      <c r="G251" s="299"/>
      <c r="H251" s="309"/>
      <c r="I251" s="299"/>
      <c r="J251" s="302"/>
    </row>
    <row r="252" spans="1:10" x14ac:dyDescent="0.25">
      <c r="A252" s="303"/>
      <c r="B252" s="579"/>
      <c r="C252" s="608"/>
      <c r="D252" s="307"/>
      <c r="E252" s="297"/>
      <c r="F252" s="298"/>
      <c r="G252" s="299"/>
      <c r="H252" s="309"/>
      <c r="I252" s="299"/>
      <c r="J252" s="302"/>
    </row>
    <row r="253" spans="1:10" ht="16.5" customHeight="1" x14ac:dyDescent="0.25">
      <c r="A253" s="303"/>
      <c r="B253" s="579"/>
      <c r="C253" s="581" t="s">
        <v>159</v>
      </c>
      <c r="D253" s="296" t="s">
        <v>160</v>
      </c>
      <c r="E253" s="304" t="s">
        <v>12</v>
      </c>
      <c r="F253" s="305">
        <v>149.4</v>
      </c>
      <c r="G253" s="662" t="s">
        <v>161</v>
      </c>
      <c r="H253" s="662"/>
      <c r="I253" s="662"/>
      <c r="J253" s="662"/>
    </row>
    <row r="254" spans="1:10" x14ac:dyDescent="0.25">
      <c r="A254" s="303"/>
      <c r="B254" s="579"/>
      <c r="C254" s="581"/>
      <c r="D254" s="563" t="s">
        <v>162</v>
      </c>
      <c r="E254" s="310"/>
      <c r="F254" s="311"/>
      <c r="G254" s="662"/>
      <c r="H254" s="662"/>
      <c r="I254" s="662"/>
      <c r="J254" s="662"/>
    </row>
    <row r="255" spans="1:10" x14ac:dyDescent="0.25">
      <c r="A255" s="303"/>
      <c r="B255" s="579"/>
      <c r="C255" s="581"/>
      <c r="D255" s="563"/>
      <c r="E255" s="310"/>
      <c r="F255" s="311"/>
      <c r="G255" s="662"/>
      <c r="H255" s="662"/>
      <c r="I255" s="662"/>
      <c r="J255" s="662"/>
    </row>
    <row r="256" spans="1:10" x14ac:dyDescent="0.25">
      <c r="A256" s="303"/>
      <c r="B256" s="579"/>
      <c r="C256" s="581"/>
      <c r="D256" s="563"/>
      <c r="E256" s="310"/>
      <c r="F256" s="312"/>
      <c r="G256" s="662"/>
      <c r="H256" s="662"/>
      <c r="I256" s="662"/>
      <c r="J256" s="662"/>
    </row>
    <row r="257" spans="1:10" ht="17.25" x14ac:dyDescent="0.25">
      <c r="A257" s="303"/>
      <c r="B257" s="579"/>
      <c r="C257" s="581"/>
      <c r="D257" s="313"/>
      <c r="E257" s="310"/>
      <c r="F257" s="312"/>
      <c r="G257" s="314"/>
      <c r="H257" s="314"/>
      <c r="I257" s="314"/>
      <c r="J257" s="315"/>
    </row>
    <row r="258" spans="1:10" x14ac:dyDescent="0.25">
      <c r="A258" s="303"/>
      <c r="B258" s="579"/>
      <c r="C258" s="581"/>
      <c r="D258" s="296" t="s">
        <v>58</v>
      </c>
      <c r="E258" s="304" t="s">
        <v>12</v>
      </c>
      <c r="F258" s="305">
        <f>F250-F253</f>
        <v>4915.7000000000007</v>
      </c>
      <c r="G258" s="316"/>
      <c r="H258" s="316"/>
      <c r="I258" s="316"/>
      <c r="J258" s="317"/>
    </row>
    <row r="259" spans="1:10" x14ac:dyDescent="0.25">
      <c r="A259" s="303"/>
      <c r="B259" s="579"/>
      <c r="C259" s="581"/>
      <c r="D259" s="592" t="s">
        <v>445</v>
      </c>
      <c r="E259" s="297"/>
      <c r="F259" s="298"/>
      <c r="G259" s="316"/>
      <c r="H259" s="316"/>
      <c r="I259" s="316"/>
      <c r="J259" s="317"/>
    </row>
    <row r="260" spans="1:10" x14ac:dyDescent="0.25">
      <c r="A260" s="303"/>
      <c r="B260" s="579"/>
      <c r="C260" s="581"/>
      <c r="D260" s="592"/>
      <c r="E260" s="297"/>
      <c r="F260" s="298"/>
      <c r="G260" s="316"/>
      <c r="H260" s="316"/>
      <c r="I260" s="316"/>
      <c r="J260" s="317"/>
    </row>
    <row r="261" spans="1:10" x14ac:dyDescent="0.25">
      <c r="A261" s="303"/>
      <c r="B261" s="579"/>
      <c r="C261" s="581"/>
      <c r="D261" s="592"/>
      <c r="E261" s="297"/>
      <c r="F261" s="298"/>
      <c r="G261" s="316"/>
      <c r="H261" s="316"/>
      <c r="I261" s="316"/>
      <c r="J261" s="317"/>
    </row>
    <row r="262" spans="1:10" x14ac:dyDescent="0.25">
      <c r="A262" s="303"/>
      <c r="B262" s="579"/>
      <c r="C262" s="581"/>
      <c r="D262" s="592"/>
      <c r="E262" s="297"/>
      <c r="F262" s="298"/>
      <c r="G262" s="316"/>
      <c r="H262" s="316"/>
      <c r="I262" s="316"/>
      <c r="J262" s="317"/>
    </row>
    <row r="263" spans="1:10" x14ac:dyDescent="0.25">
      <c r="A263" s="303"/>
      <c r="B263" s="579"/>
      <c r="C263" s="581"/>
      <c r="D263" s="592"/>
      <c r="E263" s="297"/>
      <c r="F263" s="298"/>
      <c r="G263" s="316"/>
      <c r="H263" s="316"/>
      <c r="I263" s="316"/>
      <c r="J263" s="317"/>
    </row>
    <row r="264" spans="1:10" x14ac:dyDescent="0.25">
      <c r="A264" s="303"/>
      <c r="B264" s="579"/>
      <c r="C264" s="581"/>
      <c r="D264" s="592"/>
      <c r="E264" s="318"/>
      <c r="F264" s="318"/>
      <c r="G264" s="318"/>
      <c r="H264" s="318"/>
      <c r="I264" s="318"/>
      <c r="J264" s="318"/>
    </row>
    <row r="265" spans="1:10" x14ac:dyDescent="0.25">
      <c r="A265" s="303"/>
      <c r="B265" s="579"/>
      <c r="C265" s="581"/>
      <c r="D265" s="592"/>
      <c r="E265" s="318"/>
      <c r="F265" s="318"/>
      <c r="G265" s="318"/>
      <c r="H265" s="318"/>
      <c r="I265" s="318"/>
      <c r="J265" s="318"/>
    </row>
    <row r="266" spans="1:10" x14ac:dyDescent="0.25">
      <c r="A266" s="303"/>
      <c r="B266" s="579"/>
      <c r="C266" s="581"/>
      <c r="D266" s="592"/>
      <c r="E266" s="318"/>
      <c r="F266" s="318"/>
      <c r="G266" s="318"/>
      <c r="H266" s="318"/>
      <c r="I266" s="318"/>
      <c r="J266" s="318"/>
    </row>
    <row r="267" spans="1:10" x14ac:dyDescent="0.25">
      <c r="A267" s="303"/>
      <c r="B267" s="579"/>
      <c r="C267" s="581"/>
      <c r="D267" s="592"/>
      <c r="E267" s="318"/>
      <c r="F267" s="318"/>
      <c r="G267" s="318"/>
      <c r="H267" s="318"/>
      <c r="I267" s="318"/>
      <c r="J267" s="318"/>
    </row>
    <row r="268" spans="1:10" x14ac:dyDescent="0.25">
      <c r="A268" s="303"/>
      <c r="B268" s="579"/>
      <c r="C268" s="581"/>
      <c r="D268" s="592"/>
      <c r="E268" s="318"/>
      <c r="F268" s="318"/>
      <c r="G268" s="318"/>
      <c r="H268" s="318"/>
      <c r="I268" s="318"/>
      <c r="J268" s="318"/>
    </row>
    <row r="269" spans="1:10" ht="20.25" customHeight="1" x14ac:dyDescent="0.25">
      <c r="A269" s="303"/>
      <c r="B269" s="579"/>
      <c r="C269" s="581"/>
      <c r="D269" s="592"/>
      <c r="E269" s="318"/>
      <c r="F269" s="318"/>
      <c r="G269" s="318"/>
      <c r="H269" s="318"/>
      <c r="I269" s="318"/>
      <c r="J269" s="318"/>
    </row>
    <row r="270" spans="1:10" x14ac:dyDescent="0.25">
      <c r="A270" s="303"/>
      <c r="B270" s="579"/>
      <c r="C270" s="581"/>
      <c r="D270" s="592" t="s">
        <v>421</v>
      </c>
      <c r="E270" s="318"/>
      <c r="F270" s="318"/>
      <c r="G270" s="318"/>
      <c r="H270" s="318"/>
      <c r="I270" s="318"/>
      <c r="J270" s="318"/>
    </row>
    <row r="271" spans="1:10" x14ac:dyDescent="0.25">
      <c r="A271" s="303"/>
      <c r="B271" s="579"/>
      <c r="C271" s="581"/>
      <c r="D271" s="592"/>
      <c r="E271" s="318"/>
      <c r="F271" s="318"/>
      <c r="G271" s="318"/>
      <c r="H271" s="318"/>
      <c r="I271" s="318"/>
      <c r="J271" s="318"/>
    </row>
    <row r="272" spans="1:10" x14ac:dyDescent="0.25">
      <c r="A272" s="303"/>
      <c r="B272" s="579"/>
      <c r="C272" s="581"/>
      <c r="D272" s="592"/>
      <c r="E272" s="318"/>
      <c r="F272" s="318"/>
      <c r="G272" s="318"/>
      <c r="H272" s="318"/>
      <c r="I272" s="318"/>
      <c r="J272" s="318"/>
    </row>
    <row r="273" spans="1:10" x14ac:dyDescent="0.25">
      <c r="A273" s="303"/>
      <c r="B273" s="579"/>
      <c r="C273" s="581"/>
      <c r="D273" s="592"/>
      <c r="E273" s="318"/>
      <c r="F273" s="318"/>
      <c r="G273" s="318"/>
      <c r="H273" s="318"/>
      <c r="I273" s="318"/>
      <c r="J273" s="318"/>
    </row>
    <row r="274" spans="1:10" x14ac:dyDescent="0.25">
      <c r="A274" s="303"/>
      <c r="B274" s="579"/>
      <c r="C274" s="581"/>
      <c r="D274" s="592"/>
      <c r="E274" s="318"/>
      <c r="F274" s="318"/>
      <c r="G274" s="318"/>
      <c r="H274" s="318"/>
      <c r="I274" s="318"/>
      <c r="J274" s="318"/>
    </row>
    <row r="275" spans="1:10" x14ac:dyDescent="0.25">
      <c r="A275" s="303"/>
      <c r="B275" s="579"/>
      <c r="C275" s="581"/>
      <c r="D275" s="592"/>
      <c r="E275" s="318"/>
      <c r="F275" s="318"/>
      <c r="G275" s="318"/>
      <c r="H275" s="318"/>
      <c r="I275" s="318"/>
      <c r="J275" s="318"/>
    </row>
    <row r="276" spans="1:10" x14ac:dyDescent="0.25">
      <c r="A276" s="303"/>
      <c r="B276" s="579"/>
      <c r="C276" s="581"/>
      <c r="D276" s="592"/>
      <c r="E276" s="318"/>
      <c r="F276" s="318"/>
      <c r="G276" s="318"/>
      <c r="H276" s="318"/>
      <c r="I276" s="318"/>
      <c r="J276" s="318"/>
    </row>
    <row r="277" spans="1:10" x14ac:dyDescent="0.25">
      <c r="A277" s="303"/>
      <c r="B277" s="579"/>
      <c r="C277" s="581"/>
      <c r="D277" s="592"/>
      <c r="E277" s="318"/>
      <c r="F277" s="318"/>
      <c r="G277" s="318"/>
      <c r="H277" s="318"/>
      <c r="I277" s="318"/>
      <c r="J277" s="318"/>
    </row>
    <row r="278" spans="1:10" x14ac:dyDescent="0.25">
      <c r="A278" s="303"/>
      <c r="B278" s="579"/>
      <c r="C278" s="581"/>
      <c r="D278" s="592"/>
      <c r="E278" s="318"/>
      <c r="F278" s="318"/>
      <c r="G278" s="318"/>
      <c r="H278" s="318"/>
      <c r="I278" s="318"/>
      <c r="J278" s="318"/>
    </row>
    <row r="279" spans="1:10" ht="27" customHeight="1" x14ac:dyDescent="0.25">
      <c r="A279" s="303"/>
      <c r="B279" s="579"/>
      <c r="C279" s="581"/>
      <c r="D279" s="592"/>
      <c r="E279" s="318"/>
      <c r="F279" s="318"/>
      <c r="G279" s="318"/>
      <c r="H279" s="318"/>
      <c r="I279" s="318"/>
      <c r="J279" s="318"/>
    </row>
    <row r="280" spans="1:10" ht="17.25" x14ac:dyDescent="0.25">
      <c r="A280" s="303"/>
      <c r="B280" s="319"/>
      <c r="C280" s="581"/>
      <c r="D280" s="320" t="s">
        <v>163</v>
      </c>
      <c r="E280" s="321" t="s">
        <v>12</v>
      </c>
      <c r="F280" s="322">
        <v>250</v>
      </c>
      <c r="G280" s="323">
        <f>3349000-653400</f>
        <v>2695600</v>
      </c>
      <c r="H280" s="324">
        <v>1</v>
      </c>
      <c r="I280" s="325">
        <f>F280*G280*H280</f>
        <v>673900000</v>
      </c>
      <c r="J280" s="326"/>
    </row>
    <row r="281" spans="1:10" x14ac:dyDescent="0.25">
      <c r="A281" s="303"/>
      <c r="B281" s="319"/>
      <c r="C281" s="581"/>
      <c r="D281" s="593" t="s">
        <v>164</v>
      </c>
      <c r="E281" s="321"/>
      <c r="F281" s="322"/>
      <c r="G281" s="323"/>
      <c r="H281" s="327"/>
      <c r="I281" s="325"/>
      <c r="J281" s="326"/>
    </row>
    <row r="282" spans="1:10" x14ac:dyDescent="0.25">
      <c r="A282" s="303"/>
      <c r="B282" s="319"/>
      <c r="C282" s="581"/>
      <c r="D282" s="593"/>
      <c r="E282" s="321"/>
      <c r="F282" s="322"/>
      <c r="G282" s="323"/>
      <c r="H282" s="327"/>
      <c r="I282" s="325"/>
      <c r="J282" s="326"/>
    </row>
    <row r="283" spans="1:10" x14ac:dyDescent="0.25">
      <c r="A283" s="303"/>
      <c r="B283" s="319"/>
      <c r="C283" s="581"/>
      <c r="D283" s="593" t="s">
        <v>165</v>
      </c>
      <c r="E283" s="321"/>
      <c r="F283" s="322"/>
      <c r="G283" s="323"/>
      <c r="H283" s="327"/>
      <c r="I283" s="325"/>
      <c r="J283" s="326"/>
    </row>
    <row r="284" spans="1:10" x14ac:dyDescent="0.25">
      <c r="A284" s="303"/>
      <c r="B284" s="319"/>
      <c r="C284" s="581"/>
      <c r="D284" s="593"/>
      <c r="E284" s="321"/>
      <c r="F284" s="322"/>
      <c r="G284" s="323"/>
      <c r="H284" s="327"/>
      <c r="I284" s="325"/>
      <c r="J284" s="326"/>
    </row>
    <row r="285" spans="1:10" x14ac:dyDescent="0.25">
      <c r="A285" s="303"/>
      <c r="B285" s="319"/>
      <c r="C285" s="581"/>
      <c r="D285" s="593"/>
      <c r="E285" s="321"/>
      <c r="F285" s="322"/>
      <c r="G285" s="323"/>
      <c r="H285" s="327"/>
      <c r="I285" s="325"/>
      <c r="J285" s="326"/>
    </row>
    <row r="286" spans="1:10" x14ac:dyDescent="0.25">
      <c r="A286" s="303"/>
      <c r="B286" s="319"/>
      <c r="C286" s="581"/>
      <c r="D286" s="593"/>
      <c r="E286" s="321"/>
      <c r="F286" s="322"/>
      <c r="G286" s="323"/>
      <c r="H286" s="327"/>
      <c r="I286" s="325"/>
      <c r="J286" s="326"/>
    </row>
    <row r="287" spans="1:10" x14ac:dyDescent="0.25">
      <c r="A287" s="303"/>
      <c r="B287" s="319"/>
      <c r="C287" s="581"/>
      <c r="D287" s="593"/>
      <c r="E287" s="321"/>
      <c r="F287" s="322"/>
      <c r="G287" s="323"/>
      <c r="H287" s="327"/>
      <c r="I287" s="325"/>
      <c r="J287" s="326"/>
    </row>
    <row r="288" spans="1:10" x14ac:dyDescent="0.25">
      <c r="A288" s="303"/>
      <c r="B288" s="319"/>
      <c r="C288" s="581"/>
      <c r="D288" s="593"/>
      <c r="E288" s="321"/>
      <c r="F288" s="322"/>
      <c r="G288" s="323"/>
      <c r="H288" s="327"/>
      <c r="I288" s="325"/>
      <c r="J288" s="326"/>
    </row>
    <row r="289" spans="1:10" x14ac:dyDescent="0.25">
      <c r="A289" s="303"/>
      <c r="B289" s="319"/>
      <c r="C289" s="581"/>
      <c r="D289" s="593"/>
      <c r="E289" s="321"/>
      <c r="F289" s="322"/>
      <c r="G289" s="323"/>
      <c r="H289" s="327"/>
      <c r="I289" s="325"/>
      <c r="J289" s="326"/>
    </row>
    <row r="290" spans="1:10" x14ac:dyDescent="0.25">
      <c r="A290" s="303"/>
      <c r="B290" s="319"/>
      <c r="C290" s="581"/>
      <c r="D290" s="593"/>
      <c r="E290" s="321"/>
      <c r="F290" s="322"/>
      <c r="G290" s="323"/>
      <c r="H290" s="327"/>
      <c r="I290" s="325"/>
      <c r="J290" s="326"/>
    </row>
    <row r="291" spans="1:10" x14ac:dyDescent="0.25">
      <c r="A291" s="303"/>
      <c r="B291" s="319"/>
      <c r="C291" s="581"/>
      <c r="D291" s="593"/>
      <c r="E291" s="321"/>
      <c r="F291" s="322"/>
      <c r="G291" s="323"/>
      <c r="H291" s="327"/>
      <c r="I291" s="325"/>
      <c r="J291" s="326"/>
    </row>
    <row r="292" spans="1:10" ht="17.25" x14ac:dyDescent="0.25">
      <c r="A292" s="303"/>
      <c r="B292" s="319"/>
      <c r="C292" s="581"/>
      <c r="D292" s="328" t="s">
        <v>166</v>
      </c>
      <c r="E292" s="297" t="s">
        <v>12</v>
      </c>
      <c r="F292" s="14">
        <f>F250-F253-F280</f>
        <v>4665.7000000000007</v>
      </c>
      <c r="G292" s="329">
        <v>661000</v>
      </c>
      <c r="H292" s="324">
        <v>1</v>
      </c>
      <c r="I292" s="329">
        <f>F292*G292*H292</f>
        <v>3084027700.0000005</v>
      </c>
      <c r="J292" s="318"/>
    </row>
    <row r="293" spans="1:10" x14ac:dyDescent="0.25">
      <c r="A293" s="303"/>
      <c r="B293" s="319"/>
      <c r="C293" s="581"/>
      <c r="D293" s="592" t="s">
        <v>349</v>
      </c>
      <c r="E293" s="297"/>
      <c r="F293" s="318"/>
      <c r="G293" s="318"/>
      <c r="H293" s="318"/>
      <c r="I293" s="318"/>
      <c r="J293" s="318"/>
    </row>
    <row r="294" spans="1:10" x14ac:dyDescent="0.25">
      <c r="A294" s="303"/>
      <c r="B294" s="319"/>
      <c r="C294" s="581"/>
      <c r="D294" s="592"/>
      <c r="E294" s="318"/>
      <c r="F294" s="318"/>
      <c r="G294" s="318"/>
      <c r="H294" s="318"/>
      <c r="I294" s="318"/>
      <c r="J294" s="318"/>
    </row>
    <row r="295" spans="1:10" x14ac:dyDescent="0.25">
      <c r="A295" s="303"/>
      <c r="B295" s="319"/>
      <c r="C295" s="581"/>
      <c r="D295" s="330"/>
      <c r="E295" s="318"/>
      <c r="F295" s="318"/>
      <c r="G295" s="318"/>
      <c r="H295" s="318"/>
      <c r="I295" s="318"/>
      <c r="J295" s="318"/>
    </row>
    <row r="296" spans="1:10" ht="20.25" customHeight="1" x14ac:dyDescent="0.25">
      <c r="A296" s="303"/>
      <c r="B296" s="332"/>
      <c r="C296" s="581"/>
      <c r="D296" s="296" t="s">
        <v>15</v>
      </c>
      <c r="E296" s="297"/>
      <c r="F296" s="298"/>
      <c r="G296" s="299"/>
      <c r="H296" s="309"/>
      <c r="I296" s="301"/>
      <c r="J296" s="302">
        <f>I297+I521</f>
        <v>1271780234.3791399</v>
      </c>
    </row>
    <row r="297" spans="1:10" x14ac:dyDescent="0.25">
      <c r="A297" s="303"/>
      <c r="B297" s="332"/>
      <c r="C297" s="581"/>
      <c r="D297" s="296" t="s">
        <v>16</v>
      </c>
      <c r="E297" s="297"/>
      <c r="F297" s="298"/>
      <c r="G297" s="299"/>
      <c r="H297" s="309"/>
      <c r="I297" s="333">
        <f>SUM(I308:I511)</f>
        <v>1126313234.3791399</v>
      </c>
      <c r="J297" s="302"/>
    </row>
    <row r="298" spans="1:10" ht="18.75" customHeight="1" x14ac:dyDescent="0.25">
      <c r="A298" s="303"/>
      <c r="B298" s="332"/>
      <c r="C298" s="581"/>
      <c r="D298" s="592" t="s">
        <v>167</v>
      </c>
      <c r="E298" s="297"/>
      <c r="F298" s="298"/>
      <c r="G298" s="316"/>
      <c r="H298" s="316"/>
      <c r="I298" s="316"/>
      <c r="J298" s="317"/>
    </row>
    <row r="299" spans="1:10" x14ac:dyDescent="0.25">
      <c r="A299" s="303"/>
      <c r="B299" s="332"/>
      <c r="C299" s="581"/>
      <c r="D299" s="592"/>
      <c r="E299" s="297"/>
      <c r="F299" s="298"/>
      <c r="G299" s="316"/>
      <c r="H299" s="316"/>
      <c r="I299" s="316"/>
      <c r="J299" s="317"/>
    </row>
    <row r="300" spans="1:10" ht="35.25" customHeight="1" x14ac:dyDescent="0.25">
      <c r="A300" s="303"/>
      <c r="B300" s="332"/>
      <c r="C300" s="581"/>
      <c r="D300" s="592"/>
      <c r="E300" s="297"/>
      <c r="F300" s="298"/>
      <c r="G300" s="316"/>
      <c r="H300" s="316"/>
      <c r="I300" s="316"/>
      <c r="J300" s="317"/>
    </row>
    <row r="301" spans="1:10" ht="46.5" customHeight="1" x14ac:dyDescent="0.25">
      <c r="A301" s="303"/>
      <c r="B301" s="332"/>
      <c r="C301" s="581"/>
      <c r="D301" s="592"/>
      <c r="E301" s="297"/>
      <c r="F301" s="298"/>
      <c r="G301" s="316"/>
      <c r="H301" s="316"/>
      <c r="I301" s="316"/>
      <c r="J301" s="317"/>
    </row>
    <row r="302" spans="1:10" x14ac:dyDescent="0.25">
      <c r="A302" s="303"/>
      <c r="B302" s="332"/>
      <c r="C302" s="581"/>
      <c r="D302" s="601" t="s">
        <v>168</v>
      </c>
      <c r="E302" s="318"/>
      <c r="F302" s="318"/>
      <c r="G302" s="318"/>
      <c r="H302" s="318"/>
      <c r="I302" s="318"/>
      <c r="J302" s="318"/>
    </row>
    <row r="303" spans="1:10" x14ac:dyDescent="0.25">
      <c r="A303" s="303"/>
      <c r="B303" s="332"/>
      <c r="C303" s="581"/>
      <c r="D303" s="601"/>
      <c r="E303" s="334"/>
      <c r="F303" s="334"/>
      <c r="G303" s="334"/>
      <c r="H303" s="334"/>
      <c r="I303" s="334"/>
      <c r="J303" s="334"/>
    </row>
    <row r="304" spans="1:10" x14ac:dyDescent="0.25">
      <c r="A304" s="303"/>
      <c r="B304" s="332"/>
      <c r="C304" s="581"/>
      <c r="D304" s="601"/>
      <c r="E304" s="334"/>
      <c r="F304" s="334"/>
      <c r="G304" s="334"/>
      <c r="H304" s="334"/>
      <c r="I304" s="334"/>
      <c r="J304" s="334"/>
    </row>
    <row r="305" spans="1:10" x14ac:dyDescent="0.25">
      <c r="A305" s="303"/>
      <c r="B305" s="332"/>
      <c r="C305" s="581"/>
      <c r="D305" s="601"/>
      <c r="E305" s="334"/>
      <c r="F305" s="334"/>
      <c r="G305" s="334"/>
      <c r="H305" s="334"/>
      <c r="I305" s="334"/>
      <c r="J305" s="334"/>
    </row>
    <row r="306" spans="1:10" x14ac:dyDescent="0.25">
      <c r="A306" s="303"/>
      <c r="B306" s="332"/>
      <c r="C306" s="581"/>
      <c r="D306" s="601"/>
      <c r="E306" s="334"/>
      <c r="F306" s="334"/>
      <c r="G306" s="334"/>
      <c r="H306" s="334"/>
      <c r="I306" s="334"/>
      <c r="J306" s="334"/>
    </row>
    <row r="307" spans="1:10" x14ac:dyDescent="0.25">
      <c r="A307" s="303"/>
      <c r="B307" s="332"/>
      <c r="C307" s="581"/>
      <c r="D307" s="281" t="s">
        <v>169</v>
      </c>
      <c r="E307" s="297"/>
      <c r="F307" s="335"/>
      <c r="G307" s="329"/>
      <c r="H307" s="297"/>
      <c r="I307" s="329"/>
      <c r="J307" s="318"/>
    </row>
    <row r="308" spans="1:10" x14ac:dyDescent="0.25">
      <c r="A308" s="303"/>
      <c r="B308" s="332"/>
      <c r="C308" s="581"/>
      <c r="D308" s="606" t="s">
        <v>170</v>
      </c>
      <c r="E308" s="297" t="s">
        <v>120</v>
      </c>
      <c r="F308" s="298">
        <f>11.3*2.65</f>
        <v>29.945</v>
      </c>
      <c r="G308" s="329">
        <f>2115140*(1+0.15)</f>
        <v>2432411</v>
      </c>
      <c r="H308" s="324">
        <v>0.8</v>
      </c>
      <c r="I308" s="329">
        <f>F308*G308*H308</f>
        <v>58270837.916000001</v>
      </c>
      <c r="J308" s="336"/>
    </row>
    <row r="309" spans="1:10" x14ac:dyDescent="0.25">
      <c r="A309" s="303"/>
      <c r="B309" s="332"/>
      <c r="C309" s="581"/>
      <c r="D309" s="606"/>
      <c r="E309" s="297"/>
      <c r="F309" s="335"/>
      <c r="G309" s="329"/>
      <c r="H309" s="297"/>
      <c r="I309" s="329"/>
      <c r="J309" s="336"/>
    </row>
    <row r="310" spans="1:10" x14ac:dyDescent="0.25">
      <c r="A310" s="303"/>
      <c r="B310" s="332"/>
      <c r="C310" s="581"/>
      <c r="D310" s="663" t="s">
        <v>171</v>
      </c>
      <c r="E310" s="338"/>
      <c r="F310" s="338"/>
      <c r="G310" s="338"/>
      <c r="H310" s="338"/>
      <c r="I310" s="339"/>
      <c r="J310" s="336"/>
    </row>
    <row r="311" spans="1:10" x14ac:dyDescent="0.25">
      <c r="A311" s="303"/>
      <c r="B311" s="332"/>
      <c r="C311" s="581"/>
      <c r="D311" s="663"/>
      <c r="E311" s="338"/>
      <c r="F311" s="338"/>
      <c r="G311" s="338"/>
      <c r="H311" s="338"/>
      <c r="I311" s="339"/>
      <c r="J311" s="318"/>
    </row>
    <row r="312" spans="1:10" x14ac:dyDescent="0.25">
      <c r="A312" s="303"/>
      <c r="B312" s="332"/>
      <c r="C312" s="581"/>
      <c r="D312" s="663"/>
      <c r="E312" s="338"/>
      <c r="F312" s="338"/>
      <c r="G312" s="338"/>
      <c r="H312" s="338"/>
      <c r="I312" s="339"/>
      <c r="J312" s="336"/>
    </row>
    <row r="313" spans="1:10" x14ac:dyDescent="0.25">
      <c r="A313" s="303"/>
      <c r="B313" s="332"/>
      <c r="C313" s="581"/>
      <c r="D313" s="663"/>
      <c r="E313" s="338"/>
      <c r="F313" s="338"/>
      <c r="G313" s="338"/>
      <c r="H313" s="338"/>
      <c r="I313" s="339"/>
      <c r="J313" s="336"/>
    </row>
    <row r="314" spans="1:10" x14ac:dyDescent="0.25">
      <c r="A314" s="303"/>
      <c r="B314" s="332"/>
      <c r="C314" s="581"/>
      <c r="D314" s="663"/>
      <c r="E314" s="338"/>
      <c r="F314" s="338"/>
      <c r="G314" s="338"/>
      <c r="H314" s="338"/>
      <c r="I314" s="339"/>
      <c r="J314" s="336"/>
    </row>
    <row r="315" spans="1:10" x14ac:dyDescent="0.25">
      <c r="A315" s="303"/>
      <c r="B315" s="332"/>
      <c r="C315" s="581"/>
      <c r="D315" s="663"/>
      <c r="E315" s="338"/>
      <c r="F315" s="338"/>
      <c r="G315" s="338"/>
      <c r="H315" s="338"/>
      <c r="I315" s="339"/>
      <c r="J315" s="336"/>
    </row>
    <row r="316" spans="1:10" x14ac:dyDescent="0.25">
      <c r="A316" s="303"/>
      <c r="B316" s="332"/>
      <c r="C316" s="581"/>
      <c r="D316" s="606" t="s">
        <v>172</v>
      </c>
      <c r="E316" s="297" t="s">
        <v>120</v>
      </c>
      <c r="F316" s="335">
        <f>14.3*3.25</f>
        <v>46.475000000000001</v>
      </c>
      <c r="G316" s="329">
        <v>2065326</v>
      </c>
      <c r="H316" s="324">
        <v>1</v>
      </c>
      <c r="I316" s="329">
        <f>F316*G316*H316</f>
        <v>95986025.850000009</v>
      </c>
      <c r="J316" s="336"/>
    </row>
    <row r="317" spans="1:10" x14ac:dyDescent="0.25">
      <c r="A317" s="303"/>
      <c r="B317" s="332"/>
      <c r="C317" s="581"/>
      <c r="D317" s="606"/>
      <c r="E317" s="297"/>
      <c r="F317" s="335"/>
      <c r="G317" s="329"/>
      <c r="H317" s="297"/>
      <c r="I317" s="329"/>
      <c r="J317" s="336"/>
    </row>
    <row r="318" spans="1:10" x14ac:dyDescent="0.25">
      <c r="A318" s="303"/>
      <c r="B318" s="332"/>
      <c r="C318" s="581"/>
      <c r="D318" s="606"/>
      <c r="E318" s="297"/>
      <c r="F318" s="335"/>
      <c r="G318" s="329"/>
      <c r="H318" s="297"/>
      <c r="I318" s="329"/>
      <c r="J318" s="336"/>
    </row>
    <row r="319" spans="1:10" x14ac:dyDescent="0.25">
      <c r="A319" s="303"/>
      <c r="B319" s="332"/>
      <c r="C319" s="581"/>
      <c r="D319" s="605" t="s">
        <v>173</v>
      </c>
      <c r="E319" s="297"/>
      <c r="F319" s="335"/>
      <c r="G319" s="329"/>
      <c r="H319" s="297"/>
      <c r="I319" s="329"/>
      <c r="J319" s="336"/>
    </row>
    <row r="320" spans="1:10" x14ac:dyDescent="0.25">
      <c r="A320" s="303"/>
      <c r="B320" s="332"/>
      <c r="C320" s="581"/>
      <c r="D320" s="605"/>
      <c r="E320" s="297"/>
      <c r="F320" s="335"/>
      <c r="G320" s="329"/>
      <c r="H320" s="297"/>
      <c r="I320" s="329"/>
      <c r="J320" s="336"/>
    </row>
    <row r="321" spans="1:10" x14ac:dyDescent="0.25">
      <c r="A321" s="303"/>
      <c r="B321" s="332"/>
      <c r="C321" s="581"/>
      <c r="D321" s="605"/>
      <c r="E321" s="297"/>
      <c r="F321" s="335"/>
      <c r="G321" s="329"/>
      <c r="H321" s="297"/>
      <c r="I321" s="329"/>
      <c r="J321" s="336"/>
    </row>
    <row r="322" spans="1:10" x14ac:dyDescent="0.25">
      <c r="A322" s="303"/>
      <c r="B322" s="332"/>
      <c r="C322" s="581"/>
      <c r="D322" s="605"/>
      <c r="E322" s="297"/>
      <c r="F322" s="335"/>
      <c r="G322" s="329"/>
      <c r="H322" s="297"/>
      <c r="I322" s="329"/>
      <c r="J322" s="336"/>
    </row>
    <row r="323" spans="1:10" x14ac:dyDescent="0.25">
      <c r="A323" s="303"/>
      <c r="B323" s="332"/>
      <c r="C323" s="581"/>
      <c r="D323" s="605"/>
      <c r="E323" s="297"/>
      <c r="F323" s="335"/>
      <c r="G323" s="329"/>
      <c r="H323" s="297"/>
      <c r="I323" s="329"/>
      <c r="J323" s="336"/>
    </row>
    <row r="324" spans="1:10" x14ac:dyDescent="0.25">
      <c r="A324" s="303"/>
      <c r="B324" s="332"/>
      <c r="C324" s="581"/>
      <c r="D324" s="605"/>
      <c r="E324" s="297"/>
      <c r="F324" s="335"/>
      <c r="G324" s="329"/>
      <c r="H324" s="297"/>
      <c r="I324" s="329"/>
      <c r="J324" s="336"/>
    </row>
    <row r="325" spans="1:10" x14ac:dyDescent="0.25">
      <c r="A325" s="303"/>
      <c r="B325" s="332"/>
      <c r="C325" s="581"/>
      <c r="D325" s="606" t="s">
        <v>174</v>
      </c>
      <c r="E325" s="297" t="s">
        <v>120</v>
      </c>
      <c r="F325" s="335">
        <f>19.5*2.7</f>
        <v>52.650000000000006</v>
      </c>
      <c r="G325" s="329">
        <v>2401296</v>
      </c>
      <c r="H325" s="324">
        <v>0.8</v>
      </c>
      <c r="I325" s="329">
        <f>F325*G325*H325</f>
        <v>101142587.52000003</v>
      </c>
      <c r="J325" s="336"/>
    </row>
    <row r="326" spans="1:10" x14ac:dyDescent="0.25">
      <c r="A326" s="303"/>
      <c r="B326" s="332"/>
      <c r="C326" s="581"/>
      <c r="D326" s="606"/>
      <c r="E326" s="297"/>
      <c r="F326" s="335"/>
      <c r="G326" s="329"/>
      <c r="H326" s="297"/>
      <c r="I326" s="329"/>
      <c r="J326" s="336"/>
    </row>
    <row r="327" spans="1:10" x14ac:dyDescent="0.25">
      <c r="A327" s="303"/>
      <c r="B327" s="332"/>
      <c r="C327" s="581"/>
      <c r="D327" s="605" t="s">
        <v>175</v>
      </c>
      <c r="E327" s="297"/>
      <c r="F327" s="335"/>
      <c r="G327" s="329"/>
      <c r="H327" s="297"/>
      <c r="I327" s="329"/>
      <c r="J327" s="336"/>
    </row>
    <row r="328" spans="1:10" x14ac:dyDescent="0.25">
      <c r="A328" s="303"/>
      <c r="B328" s="332"/>
      <c r="C328" s="581"/>
      <c r="D328" s="605"/>
      <c r="E328" s="297"/>
      <c r="F328" s="335"/>
      <c r="G328" s="329"/>
      <c r="H328" s="297"/>
      <c r="I328" s="329"/>
      <c r="J328" s="336"/>
    </row>
    <row r="329" spans="1:10" x14ac:dyDescent="0.25">
      <c r="A329" s="303"/>
      <c r="B329" s="332"/>
      <c r="C329" s="581"/>
      <c r="D329" s="351" t="s">
        <v>176</v>
      </c>
      <c r="E329" s="297" t="s">
        <v>120</v>
      </c>
      <c r="F329" s="335">
        <f>2*4</f>
        <v>8</v>
      </c>
      <c r="G329" s="329">
        <v>409513</v>
      </c>
      <c r="H329" s="324">
        <v>0.8</v>
      </c>
      <c r="I329" s="329">
        <f>F329*G329*H329</f>
        <v>2620883.2000000002</v>
      </c>
      <c r="J329" s="336"/>
    </row>
    <row r="330" spans="1:10" x14ac:dyDescent="0.25">
      <c r="A330" s="303"/>
      <c r="B330" s="332"/>
      <c r="C330" s="581"/>
      <c r="D330" s="605" t="s">
        <v>177</v>
      </c>
      <c r="E330" s="297"/>
      <c r="F330" s="335"/>
      <c r="G330" s="329"/>
      <c r="H330" s="297"/>
      <c r="I330" s="329"/>
      <c r="J330" s="336"/>
    </row>
    <row r="331" spans="1:10" x14ac:dyDescent="0.25">
      <c r="A331" s="303"/>
      <c r="B331" s="332"/>
      <c r="C331" s="581"/>
      <c r="D331" s="605"/>
      <c r="E331" s="297"/>
      <c r="F331" s="335"/>
      <c r="G331" s="329"/>
      <c r="H331" s="297"/>
      <c r="I331" s="329"/>
      <c r="J331" s="336"/>
    </row>
    <row r="332" spans="1:10" x14ac:dyDescent="0.25">
      <c r="A332" s="303"/>
      <c r="B332" s="332"/>
      <c r="C332" s="581"/>
      <c r="D332" s="373"/>
      <c r="E332" s="297"/>
      <c r="F332" s="335"/>
      <c r="G332" s="329"/>
      <c r="H332" s="297"/>
      <c r="I332" s="329"/>
      <c r="J332" s="336"/>
    </row>
    <row r="333" spans="1:10" x14ac:dyDescent="0.25">
      <c r="A333" s="303"/>
      <c r="B333" s="332"/>
      <c r="C333" s="581"/>
      <c r="D333" s="281" t="s">
        <v>178</v>
      </c>
      <c r="E333" s="297"/>
      <c r="F333" s="335"/>
      <c r="G333" s="329"/>
      <c r="H333" s="324"/>
      <c r="I333" s="329"/>
      <c r="J333" s="336"/>
    </row>
    <row r="334" spans="1:10" x14ac:dyDescent="0.25">
      <c r="A334" s="303"/>
      <c r="B334" s="332"/>
      <c r="C334" s="581"/>
      <c r="D334" s="603" t="s">
        <v>179</v>
      </c>
      <c r="E334" s="297" t="s">
        <v>120</v>
      </c>
      <c r="F334" s="298">
        <f>3.6*3.2</f>
        <v>11.520000000000001</v>
      </c>
      <c r="G334" s="329">
        <f>877156*(1-0.085)</f>
        <v>802597.74</v>
      </c>
      <c r="H334" s="324">
        <v>1</v>
      </c>
      <c r="I334" s="329">
        <f>F334*G334*H334</f>
        <v>9245925.9648000002</v>
      </c>
      <c r="J334" s="336"/>
    </row>
    <row r="335" spans="1:10" x14ac:dyDescent="0.25">
      <c r="A335" s="303"/>
      <c r="B335" s="332"/>
      <c r="C335" s="581"/>
      <c r="D335" s="603"/>
      <c r="E335" s="297"/>
      <c r="F335" s="335"/>
      <c r="G335" s="329"/>
      <c r="H335" s="297"/>
      <c r="I335" s="329"/>
      <c r="J335" s="336"/>
    </row>
    <row r="336" spans="1:10" x14ac:dyDescent="0.25">
      <c r="A336" s="303"/>
      <c r="B336" s="332"/>
      <c r="C336" s="581"/>
      <c r="D336" s="605" t="s">
        <v>180</v>
      </c>
      <c r="E336" s="297"/>
      <c r="F336" s="335"/>
      <c r="G336" s="329"/>
      <c r="H336" s="297"/>
      <c r="I336" s="329"/>
      <c r="J336" s="336"/>
    </row>
    <row r="337" spans="1:10" x14ac:dyDescent="0.25">
      <c r="A337" s="303"/>
      <c r="B337" s="332"/>
      <c r="C337" s="581"/>
      <c r="D337" s="605"/>
      <c r="E337" s="297"/>
      <c r="F337" s="335"/>
      <c r="G337" s="329"/>
      <c r="H337" s="297"/>
      <c r="I337" s="329"/>
      <c r="J337" s="336"/>
    </row>
    <row r="338" spans="1:10" x14ac:dyDescent="0.25">
      <c r="A338" s="303"/>
      <c r="B338" s="332"/>
      <c r="C338" s="581"/>
      <c r="D338" s="605"/>
      <c r="E338" s="297"/>
      <c r="F338" s="335"/>
      <c r="G338" s="329"/>
      <c r="H338" s="297"/>
      <c r="I338" s="329"/>
      <c r="J338" s="336"/>
    </row>
    <row r="339" spans="1:10" x14ac:dyDescent="0.25">
      <c r="A339" s="303"/>
      <c r="B339" s="332"/>
      <c r="C339" s="581"/>
      <c r="D339" s="605"/>
      <c r="E339" s="297"/>
      <c r="F339" s="335"/>
      <c r="G339" s="329"/>
      <c r="H339" s="297"/>
      <c r="I339" s="329"/>
      <c r="J339" s="336"/>
    </row>
    <row r="340" spans="1:10" x14ac:dyDescent="0.25">
      <c r="A340" s="303"/>
      <c r="B340" s="332"/>
      <c r="C340" s="581"/>
      <c r="D340" s="605"/>
      <c r="E340" s="297"/>
      <c r="F340" s="335"/>
      <c r="G340" s="329"/>
      <c r="H340" s="297"/>
      <c r="I340" s="329"/>
      <c r="J340" s="336"/>
    </row>
    <row r="341" spans="1:10" x14ac:dyDescent="0.25">
      <c r="A341" s="303"/>
      <c r="B341" s="332"/>
      <c r="C341" s="581"/>
      <c r="D341" s="605"/>
      <c r="E341" s="297"/>
      <c r="F341" s="335"/>
      <c r="G341" s="329"/>
      <c r="H341" s="297"/>
      <c r="I341" s="329"/>
      <c r="J341" s="336"/>
    </row>
    <row r="342" spans="1:10" x14ac:dyDescent="0.25">
      <c r="A342" s="303"/>
      <c r="B342" s="332"/>
      <c r="C342" s="581"/>
      <c r="D342" s="331" t="s">
        <v>181</v>
      </c>
      <c r="E342" s="297" t="s">
        <v>145</v>
      </c>
      <c r="F342" s="298">
        <v>37.700000000000003</v>
      </c>
      <c r="G342" s="329">
        <f>537955*(1-0.085)</f>
        <v>492228.82500000001</v>
      </c>
      <c r="H342" s="324">
        <v>1</v>
      </c>
      <c r="I342" s="329">
        <f>F342*G342*H342</f>
        <v>18557026.702500001</v>
      </c>
      <c r="J342" s="336"/>
    </row>
    <row r="343" spans="1:10" x14ac:dyDescent="0.25">
      <c r="A343" s="303"/>
      <c r="B343" s="332"/>
      <c r="C343" s="581"/>
      <c r="D343" s="605" t="s">
        <v>182</v>
      </c>
      <c r="E343" s="297"/>
      <c r="F343" s="335"/>
      <c r="G343" s="329"/>
      <c r="H343" s="297"/>
      <c r="I343" s="329"/>
      <c r="J343" s="336"/>
    </row>
    <row r="344" spans="1:10" x14ac:dyDescent="0.25">
      <c r="A344" s="303"/>
      <c r="B344" s="332"/>
      <c r="C344" s="581"/>
      <c r="D344" s="605"/>
      <c r="E344" s="297"/>
      <c r="F344" s="335"/>
      <c r="G344" s="329"/>
      <c r="H344" s="297"/>
      <c r="I344" s="329"/>
      <c r="J344" s="336"/>
    </row>
    <row r="345" spans="1:10" x14ac:dyDescent="0.25">
      <c r="A345" s="303"/>
      <c r="B345" s="332"/>
      <c r="C345" s="581"/>
      <c r="D345" s="605"/>
      <c r="E345" s="297"/>
      <c r="F345" s="335"/>
      <c r="G345" s="329"/>
      <c r="H345" s="297"/>
      <c r="I345" s="329"/>
      <c r="J345" s="336"/>
    </row>
    <row r="346" spans="1:10" x14ac:dyDescent="0.25">
      <c r="A346" s="303"/>
      <c r="B346" s="332"/>
      <c r="C346" s="581"/>
      <c r="D346" s="605"/>
      <c r="E346" s="297"/>
      <c r="F346" s="335"/>
      <c r="G346" s="329"/>
      <c r="H346" s="297"/>
      <c r="I346" s="329"/>
      <c r="J346" s="336"/>
    </row>
    <row r="347" spans="1:10" x14ac:dyDescent="0.25">
      <c r="A347" s="303"/>
      <c r="B347" s="332"/>
      <c r="C347" s="581"/>
      <c r="D347" s="605"/>
      <c r="E347" s="297"/>
      <c r="F347" s="335"/>
      <c r="G347" s="329"/>
      <c r="H347" s="297"/>
      <c r="I347" s="329"/>
      <c r="J347" s="336"/>
    </row>
    <row r="348" spans="1:10" x14ac:dyDescent="0.25">
      <c r="A348" s="303"/>
      <c r="B348" s="332"/>
      <c r="C348" s="581"/>
      <c r="D348" s="605"/>
      <c r="E348" s="297"/>
      <c r="F348" s="335"/>
      <c r="G348" s="329"/>
      <c r="H348" s="297"/>
      <c r="I348" s="329"/>
      <c r="J348" s="336"/>
    </row>
    <row r="349" spans="1:10" x14ac:dyDescent="0.25">
      <c r="A349" s="303"/>
      <c r="B349" s="332"/>
      <c r="C349" s="581"/>
      <c r="D349" s="281" t="s">
        <v>183</v>
      </c>
      <c r="E349" s="297"/>
      <c r="F349" s="335"/>
      <c r="G349" s="329"/>
      <c r="H349" s="297"/>
      <c r="I349" s="329"/>
      <c r="J349" s="336"/>
    </row>
    <row r="350" spans="1:10" x14ac:dyDescent="0.25">
      <c r="A350" s="303"/>
      <c r="B350" s="332"/>
      <c r="C350" s="581"/>
      <c r="D350" s="606" t="s">
        <v>184</v>
      </c>
      <c r="E350" s="297" t="s">
        <v>120</v>
      </c>
      <c r="F350" s="340">
        <f>4.4*3.4</f>
        <v>14.96</v>
      </c>
      <c r="G350" s="341">
        <f>3751000*(1+0.085)</f>
        <v>4069835</v>
      </c>
      <c r="H350" s="342">
        <v>0.8</v>
      </c>
      <c r="I350" s="306">
        <f>H350*G350*F350</f>
        <v>48707785.280000001</v>
      </c>
      <c r="J350" s="336"/>
    </row>
    <row r="351" spans="1:10" x14ac:dyDescent="0.25">
      <c r="A351" s="303"/>
      <c r="B351" s="332"/>
      <c r="C351" s="581"/>
      <c r="D351" s="606"/>
      <c r="E351" s="297"/>
      <c r="F351" s="340"/>
      <c r="G351" s="341"/>
      <c r="H351" s="342"/>
      <c r="I351" s="306"/>
      <c r="J351" s="336"/>
    </row>
    <row r="352" spans="1:10" x14ac:dyDescent="0.25">
      <c r="A352" s="303"/>
      <c r="B352" s="332"/>
      <c r="C352" s="581"/>
      <c r="D352" s="606"/>
      <c r="E352" s="297"/>
      <c r="F352" s="340"/>
      <c r="G352" s="341"/>
      <c r="H352" s="342"/>
      <c r="I352" s="306"/>
      <c r="J352" s="336"/>
    </row>
    <row r="353" spans="1:10" x14ac:dyDescent="0.25">
      <c r="A353" s="303"/>
      <c r="B353" s="332"/>
      <c r="C353" s="581"/>
      <c r="D353" s="605" t="s">
        <v>185</v>
      </c>
      <c r="E353" s="297"/>
      <c r="F353" s="340"/>
      <c r="G353" s="341"/>
      <c r="H353" s="342"/>
      <c r="I353" s="306"/>
      <c r="J353" s="336"/>
    </row>
    <row r="354" spans="1:10" ht="37.5" customHeight="1" x14ac:dyDescent="0.25">
      <c r="A354" s="303"/>
      <c r="B354" s="332"/>
      <c r="C354" s="581"/>
      <c r="D354" s="605"/>
      <c r="E354" s="297"/>
      <c r="F354" s="340"/>
      <c r="G354" s="341"/>
      <c r="H354" s="342"/>
      <c r="I354" s="306"/>
      <c r="J354" s="336"/>
    </row>
    <row r="355" spans="1:10" ht="21" customHeight="1" x14ac:dyDescent="0.25">
      <c r="A355" s="303"/>
      <c r="B355" s="332"/>
      <c r="C355" s="581"/>
      <c r="D355" s="605"/>
      <c r="E355" s="297"/>
      <c r="F355" s="340"/>
      <c r="G355" s="341"/>
      <c r="H355" s="342"/>
      <c r="I355" s="306"/>
      <c r="J355" s="336"/>
    </row>
    <row r="356" spans="1:10" ht="18" customHeight="1" x14ac:dyDescent="0.25">
      <c r="A356" s="303"/>
      <c r="B356" s="332"/>
      <c r="C356" s="581"/>
      <c r="D356" s="605"/>
      <c r="E356" s="297"/>
      <c r="F356" s="340"/>
      <c r="G356" s="341"/>
      <c r="H356" s="342"/>
      <c r="I356" s="306"/>
      <c r="J356" s="336"/>
    </row>
    <row r="357" spans="1:10" ht="24.75" customHeight="1" x14ac:dyDescent="0.25">
      <c r="A357" s="303"/>
      <c r="B357" s="332"/>
      <c r="C357" s="581"/>
      <c r="D357" s="605"/>
      <c r="E357" s="297"/>
      <c r="F357" s="340"/>
      <c r="G357" s="341"/>
      <c r="H357" s="342"/>
      <c r="I357" s="306"/>
      <c r="J357" s="336"/>
    </row>
    <row r="358" spans="1:10" x14ac:dyDescent="0.25">
      <c r="A358" s="303"/>
      <c r="B358" s="332"/>
      <c r="C358" s="581"/>
      <c r="D358" s="606" t="s">
        <v>186</v>
      </c>
      <c r="E358" s="297" t="s">
        <v>120</v>
      </c>
      <c r="F358" s="346">
        <f>3.6*3</f>
        <v>10.8</v>
      </c>
      <c r="G358" s="347">
        <f>2115140*(1+0.085)</f>
        <v>2294926.9</v>
      </c>
      <c r="H358" s="342">
        <v>0.8</v>
      </c>
      <c r="I358" s="306">
        <f>H358*G358*F358</f>
        <v>19828168.416000001</v>
      </c>
      <c r="J358" s="336"/>
    </row>
    <row r="359" spans="1:10" ht="15" customHeight="1" x14ac:dyDescent="0.25">
      <c r="A359" s="303"/>
      <c r="B359" s="332"/>
      <c r="C359" s="581"/>
      <c r="D359" s="606"/>
      <c r="E359" s="297"/>
      <c r="F359" s="346"/>
      <c r="G359" s="347"/>
      <c r="H359" s="342"/>
      <c r="I359" s="306"/>
      <c r="J359" s="336"/>
    </row>
    <row r="360" spans="1:10" ht="17.25" x14ac:dyDescent="0.25">
      <c r="A360" s="303"/>
      <c r="B360" s="332"/>
      <c r="C360" s="581"/>
      <c r="D360" s="605" t="s">
        <v>187</v>
      </c>
      <c r="E360" s="297"/>
      <c r="F360" s="348"/>
      <c r="G360" s="343"/>
      <c r="H360" s="344"/>
      <c r="I360" s="345"/>
      <c r="J360" s="336"/>
    </row>
    <row r="361" spans="1:10" ht="17.25" x14ac:dyDescent="0.25">
      <c r="A361" s="303"/>
      <c r="B361" s="332"/>
      <c r="C361" s="581"/>
      <c r="D361" s="605"/>
      <c r="E361" s="297"/>
      <c r="F361" s="348"/>
      <c r="G361" s="343"/>
      <c r="H361" s="344"/>
      <c r="I361" s="345"/>
      <c r="J361" s="336"/>
    </row>
    <row r="362" spans="1:10" ht="17.25" x14ac:dyDescent="0.25">
      <c r="A362" s="303"/>
      <c r="B362" s="332"/>
      <c r="C362" s="581"/>
      <c r="D362" s="605"/>
      <c r="E362" s="297"/>
      <c r="F362" s="348"/>
      <c r="G362" s="343"/>
      <c r="H362" s="344"/>
      <c r="I362" s="345"/>
      <c r="J362" s="336"/>
    </row>
    <row r="363" spans="1:10" ht="17.25" x14ac:dyDescent="0.25">
      <c r="A363" s="303"/>
      <c r="B363" s="332"/>
      <c r="C363" s="581"/>
      <c r="D363" s="605"/>
      <c r="E363" s="297"/>
      <c r="F363" s="348"/>
      <c r="G363" s="343"/>
      <c r="H363" s="344"/>
      <c r="I363" s="345"/>
      <c r="J363" s="336"/>
    </row>
    <row r="364" spans="1:10" ht="17.25" x14ac:dyDescent="0.25">
      <c r="A364" s="303"/>
      <c r="B364" s="332"/>
      <c r="C364" s="581"/>
      <c r="D364" s="605"/>
      <c r="E364" s="297"/>
      <c r="F364" s="348"/>
      <c r="G364" s="343"/>
      <c r="H364" s="344"/>
      <c r="I364" s="345"/>
      <c r="J364" s="336"/>
    </row>
    <row r="365" spans="1:10" x14ac:dyDescent="0.25">
      <c r="A365" s="303"/>
      <c r="B365" s="332"/>
      <c r="C365" s="581"/>
      <c r="D365" s="606" t="s">
        <v>188</v>
      </c>
      <c r="E365" s="297" t="s">
        <v>120</v>
      </c>
      <c r="F365" s="349">
        <f>3.25*3.4</f>
        <v>11.049999999999999</v>
      </c>
      <c r="G365" s="347">
        <f>2115140*(1.1+0.085)</f>
        <v>2506440.9</v>
      </c>
      <c r="H365" s="342">
        <v>0.8</v>
      </c>
      <c r="I365" s="306">
        <f>H365*G365*F365</f>
        <v>22156937.555999998</v>
      </c>
      <c r="J365" s="336"/>
    </row>
    <row r="366" spans="1:10" x14ac:dyDescent="0.25">
      <c r="A366" s="303"/>
      <c r="B366" s="332"/>
      <c r="C366" s="581"/>
      <c r="D366" s="606"/>
      <c r="E366" s="297"/>
      <c r="F366" s="349"/>
      <c r="G366" s="347"/>
      <c r="H366" s="342"/>
      <c r="I366" s="306"/>
      <c r="J366" s="336"/>
    </row>
    <row r="367" spans="1:10" x14ac:dyDescent="0.25">
      <c r="A367" s="303"/>
      <c r="B367" s="332"/>
      <c r="C367" s="581"/>
      <c r="D367" s="606"/>
      <c r="E367" s="297"/>
      <c r="F367" s="349"/>
      <c r="G367" s="347"/>
      <c r="H367" s="342"/>
      <c r="I367" s="306"/>
      <c r="J367" s="336"/>
    </row>
    <row r="368" spans="1:10" ht="17.25" x14ac:dyDescent="0.25">
      <c r="A368" s="303"/>
      <c r="B368" s="332"/>
      <c r="C368" s="581"/>
      <c r="D368" s="605" t="s">
        <v>189</v>
      </c>
      <c r="E368" s="297"/>
      <c r="F368" s="348"/>
      <c r="G368" s="343"/>
      <c r="H368" s="344"/>
      <c r="I368" s="345"/>
      <c r="J368" s="336"/>
    </row>
    <row r="369" spans="1:10" ht="17.25" x14ac:dyDescent="0.25">
      <c r="A369" s="303"/>
      <c r="B369" s="332"/>
      <c r="C369" s="581"/>
      <c r="D369" s="605"/>
      <c r="E369" s="297"/>
      <c r="F369" s="348"/>
      <c r="G369" s="343"/>
      <c r="H369" s="344"/>
      <c r="I369" s="345"/>
      <c r="J369" s="336"/>
    </row>
    <row r="370" spans="1:10" ht="17.25" x14ac:dyDescent="0.25">
      <c r="A370" s="303"/>
      <c r="B370" s="332"/>
      <c r="C370" s="581"/>
      <c r="D370" s="605"/>
      <c r="E370" s="297"/>
      <c r="F370" s="348"/>
      <c r="G370" s="343"/>
      <c r="H370" s="344"/>
      <c r="I370" s="345"/>
      <c r="J370" s="336"/>
    </row>
    <row r="371" spans="1:10" ht="17.25" x14ac:dyDescent="0.25">
      <c r="A371" s="303"/>
      <c r="B371" s="332"/>
      <c r="C371" s="581"/>
      <c r="D371" s="605"/>
      <c r="E371" s="297"/>
      <c r="F371" s="348"/>
      <c r="G371" s="343"/>
      <c r="H371" s="344"/>
      <c r="I371" s="345"/>
      <c r="J371" s="336"/>
    </row>
    <row r="372" spans="1:10" ht="17.25" x14ac:dyDescent="0.25">
      <c r="A372" s="303"/>
      <c r="B372" s="332"/>
      <c r="C372" s="581"/>
      <c r="D372" s="605"/>
      <c r="E372" s="297"/>
      <c r="F372" s="348"/>
      <c r="G372" s="343"/>
      <c r="H372" s="344"/>
      <c r="I372" s="345"/>
      <c r="J372" s="336"/>
    </row>
    <row r="373" spans="1:10" ht="17.25" x14ac:dyDescent="0.25">
      <c r="A373" s="303"/>
      <c r="B373" s="332"/>
      <c r="C373" s="581"/>
      <c r="D373" s="605"/>
      <c r="E373" s="297"/>
      <c r="F373" s="348"/>
      <c r="G373" s="343"/>
      <c r="H373" s="344"/>
      <c r="I373" s="345"/>
      <c r="J373" s="336"/>
    </row>
    <row r="374" spans="1:10" x14ac:dyDescent="0.25">
      <c r="A374" s="303"/>
      <c r="B374" s="332"/>
      <c r="C374" s="581"/>
      <c r="D374" s="606" t="s">
        <v>190</v>
      </c>
      <c r="E374" s="297" t="s">
        <v>120</v>
      </c>
      <c r="F374" s="349">
        <f>4.6*3.6</f>
        <v>16.559999999999999</v>
      </c>
      <c r="G374" s="347">
        <v>2401296</v>
      </c>
      <c r="H374" s="342">
        <v>0.8</v>
      </c>
      <c r="I374" s="306">
        <f>H374*G374*F374</f>
        <v>31812369.408</v>
      </c>
      <c r="J374" s="336"/>
    </row>
    <row r="375" spans="1:10" ht="17.25" x14ac:dyDescent="0.25">
      <c r="A375" s="303"/>
      <c r="B375" s="332"/>
      <c r="C375" s="581"/>
      <c r="D375" s="606"/>
      <c r="E375" s="297"/>
      <c r="F375" s="349"/>
      <c r="G375" s="343"/>
      <c r="H375" s="344"/>
      <c r="I375" s="345"/>
      <c r="J375" s="336"/>
    </row>
    <row r="376" spans="1:10" ht="17.25" x14ac:dyDescent="0.25">
      <c r="A376" s="303"/>
      <c r="B376" s="332"/>
      <c r="C376" s="581"/>
      <c r="D376" s="605" t="s">
        <v>191</v>
      </c>
      <c r="E376" s="297"/>
      <c r="F376" s="350"/>
      <c r="G376" s="343"/>
      <c r="H376" s="344"/>
      <c r="I376" s="345"/>
      <c r="J376" s="336"/>
    </row>
    <row r="377" spans="1:10" ht="17.25" x14ac:dyDescent="0.25">
      <c r="A377" s="303"/>
      <c r="B377" s="332"/>
      <c r="C377" s="581"/>
      <c r="D377" s="605"/>
      <c r="E377" s="297"/>
      <c r="F377" s="350"/>
      <c r="G377" s="343"/>
      <c r="H377" s="344"/>
      <c r="I377" s="345"/>
      <c r="J377" s="336"/>
    </row>
    <row r="378" spans="1:10" x14ac:dyDescent="0.25">
      <c r="A378" s="303"/>
      <c r="B378" s="332"/>
      <c r="C378" s="581"/>
      <c r="D378" s="351" t="s">
        <v>192</v>
      </c>
      <c r="E378" s="297" t="s">
        <v>193</v>
      </c>
      <c r="F378" s="349">
        <v>41.8</v>
      </c>
      <c r="G378" s="347">
        <f>537955*(1-0.085)</f>
        <v>492228.82500000001</v>
      </c>
      <c r="H378" s="342">
        <v>1</v>
      </c>
      <c r="I378" s="306">
        <f>H378*G378*F378</f>
        <v>20575164.884999998</v>
      </c>
      <c r="J378" s="336"/>
    </row>
    <row r="379" spans="1:10" ht="17.25" x14ac:dyDescent="0.25">
      <c r="A379" s="303"/>
      <c r="B379" s="332"/>
      <c r="C379" s="581"/>
      <c r="D379" s="605" t="s">
        <v>194</v>
      </c>
      <c r="E379" s="297"/>
      <c r="F379" s="350"/>
      <c r="G379" s="343"/>
      <c r="H379" s="344"/>
      <c r="I379" s="345"/>
      <c r="J379" s="336"/>
    </row>
    <row r="380" spans="1:10" x14ac:dyDescent="0.25">
      <c r="A380" s="303"/>
      <c r="B380" s="332"/>
      <c r="C380" s="581"/>
      <c r="D380" s="605"/>
      <c r="E380" s="297"/>
      <c r="F380" s="335"/>
      <c r="G380" s="329"/>
      <c r="H380" s="297"/>
      <c r="I380" s="329"/>
      <c r="J380" s="336"/>
    </row>
    <row r="381" spans="1:10" x14ac:dyDescent="0.25">
      <c r="A381" s="303"/>
      <c r="B381" s="332"/>
      <c r="C381" s="581"/>
      <c r="D381" s="605"/>
      <c r="E381" s="297"/>
      <c r="F381" s="335"/>
      <c r="G381" s="329"/>
      <c r="H381" s="297"/>
      <c r="I381" s="329"/>
      <c r="J381" s="336"/>
    </row>
    <row r="382" spans="1:10" x14ac:dyDescent="0.25">
      <c r="A382" s="303"/>
      <c r="B382" s="332"/>
      <c r="C382" s="581"/>
      <c r="D382" s="605"/>
      <c r="E382" s="297"/>
      <c r="F382" s="335"/>
      <c r="G382" s="329"/>
      <c r="H382" s="297"/>
      <c r="I382" s="329"/>
      <c r="J382" s="336"/>
    </row>
    <row r="383" spans="1:10" x14ac:dyDescent="0.25">
      <c r="A383" s="303"/>
      <c r="B383" s="332"/>
      <c r="C383" s="581"/>
      <c r="D383" s="605"/>
      <c r="E383" s="297"/>
      <c r="F383" s="335"/>
      <c r="G383" s="329"/>
      <c r="H383" s="297"/>
      <c r="I383" s="329"/>
      <c r="J383" s="336"/>
    </row>
    <row r="384" spans="1:10" x14ac:dyDescent="0.25">
      <c r="A384" s="303"/>
      <c r="B384" s="332"/>
      <c r="C384" s="581"/>
      <c r="D384" s="605"/>
      <c r="E384" s="297"/>
      <c r="F384" s="335"/>
      <c r="G384" s="329"/>
      <c r="H384" s="297"/>
      <c r="I384" s="329"/>
      <c r="J384" s="336"/>
    </row>
    <row r="385" spans="1:10" x14ac:dyDescent="0.25">
      <c r="A385" s="303"/>
      <c r="B385" s="332"/>
      <c r="C385" s="581"/>
      <c r="D385" s="352" t="s">
        <v>195</v>
      </c>
      <c r="E385" s="297"/>
      <c r="F385" s="335"/>
      <c r="G385" s="329"/>
      <c r="H385" s="297"/>
      <c r="I385" s="329"/>
      <c r="J385" s="336"/>
    </row>
    <row r="386" spans="1:10" x14ac:dyDescent="0.25">
      <c r="A386" s="303"/>
      <c r="B386" s="332"/>
      <c r="C386" s="581"/>
      <c r="D386" s="606" t="s">
        <v>196</v>
      </c>
      <c r="E386" s="297" t="s">
        <v>120</v>
      </c>
      <c r="F386" s="298">
        <f>4.3*5.8</f>
        <v>24.939999999999998</v>
      </c>
      <c r="G386" s="353">
        <f>2309288+481600</f>
        <v>2790888</v>
      </c>
      <c r="H386" s="309">
        <v>0.8</v>
      </c>
      <c r="I386" s="353">
        <f>F386*G386*H386</f>
        <v>55683797.376000002</v>
      </c>
      <c r="J386" s="336"/>
    </row>
    <row r="387" spans="1:10" x14ac:dyDescent="0.25">
      <c r="A387" s="303"/>
      <c r="B387" s="332"/>
      <c r="C387" s="581"/>
      <c r="D387" s="606"/>
      <c r="E387" s="297"/>
      <c r="F387" s="298"/>
      <c r="G387" s="306"/>
      <c r="H387" s="354"/>
      <c r="I387" s="302"/>
      <c r="J387" s="336"/>
    </row>
    <row r="388" spans="1:10" x14ac:dyDescent="0.25">
      <c r="A388" s="303"/>
      <c r="B388" s="332"/>
      <c r="C388" s="581"/>
      <c r="D388" s="605" t="s">
        <v>197</v>
      </c>
      <c r="E388" s="297"/>
      <c r="F388" s="298"/>
      <c r="G388" s="306"/>
      <c r="H388" s="354"/>
      <c r="I388" s="302"/>
      <c r="J388" s="336"/>
    </row>
    <row r="389" spans="1:10" x14ac:dyDescent="0.25">
      <c r="A389" s="303"/>
      <c r="B389" s="332"/>
      <c r="C389" s="581"/>
      <c r="D389" s="605"/>
      <c r="E389" s="297"/>
      <c r="F389" s="298"/>
      <c r="G389" s="306"/>
      <c r="H389" s="354"/>
      <c r="I389" s="302"/>
      <c r="J389" s="336"/>
    </row>
    <row r="390" spans="1:10" x14ac:dyDescent="0.25">
      <c r="A390" s="303"/>
      <c r="B390" s="332"/>
      <c r="C390" s="581"/>
      <c r="D390" s="605"/>
      <c r="E390" s="297"/>
      <c r="F390" s="298"/>
      <c r="G390" s="306"/>
      <c r="H390" s="354"/>
      <c r="I390" s="302"/>
      <c r="J390" s="336"/>
    </row>
    <row r="391" spans="1:10" x14ac:dyDescent="0.25">
      <c r="A391" s="303"/>
      <c r="B391" s="332"/>
      <c r="C391" s="581"/>
      <c r="D391" s="605"/>
      <c r="E391" s="297"/>
      <c r="F391" s="298"/>
      <c r="G391" s="306"/>
      <c r="H391" s="354"/>
      <c r="I391" s="302"/>
      <c r="J391" s="336"/>
    </row>
    <row r="392" spans="1:10" x14ac:dyDescent="0.25">
      <c r="A392" s="303"/>
      <c r="B392" s="332"/>
      <c r="C392" s="581"/>
      <c r="D392" s="605"/>
      <c r="E392" s="297"/>
      <c r="F392" s="298"/>
      <c r="G392" s="306"/>
      <c r="H392" s="354"/>
      <c r="I392" s="302"/>
      <c r="J392" s="336"/>
    </row>
    <row r="393" spans="1:10" x14ac:dyDescent="0.25">
      <c r="A393" s="303"/>
      <c r="B393" s="332"/>
      <c r="C393" s="581"/>
      <c r="D393" s="606" t="s">
        <v>198</v>
      </c>
      <c r="E393" s="297" t="s">
        <v>12</v>
      </c>
      <c r="F393" s="298">
        <f>5.8*4.6</f>
        <v>26.679999999999996</v>
      </c>
      <c r="G393" s="353">
        <f>(3958967*(1.12-0.085))+481600</f>
        <v>4579130.8450000007</v>
      </c>
      <c r="H393" s="309">
        <v>0.8</v>
      </c>
      <c r="I393" s="353">
        <f>F393*G393*H393</f>
        <v>97736968.75568001</v>
      </c>
      <c r="J393" s="336"/>
    </row>
    <row r="394" spans="1:10" x14ac:dyDescent="0.25">
      <c r="A394" s="303"/>
      <c r="B394" s="332"/>
      <c r="C394" s="581"/>
      <c r="D394" s="606"/>
      <c r="E394" s="297"/>
      <c r="F394" s="298"/>
      <c r="G394" s="306"/>
      <c r="H394" s="354"/>
      <c r="I394" s="302"/>
      <c r="J394" s="336"/>
    </row>
    <row r="395" spans="1:10" x14ac:dyDescent="0.25">
      <c r="A395" s="303"/>
      <c r="B395" s="332"/>
      <c r="C395" s="581"/>
      <c r="D395" s="606"/>
      <c r="E395" s="297"/>
      <c r="F395" s="298"/>
      <c r="G395" s="306"/>
      <c r="H395" s="354"/>
      <c r="I395" s="302"/>
      <c r="J395" s="336"/>
    </row>
    <row r="396" spans="1:10" x14ac:dyDescent="0.25">
      <c r="A396" s="303"/>
      <c r="B396" s="332"/>
      <c r="C396" s="581"/>
      <c r="D396" s="605" t="s">
        <v>362</v>
      </c>
      <c r="E396" s="297"/>
      <c r="F396" s="298"/>
      <c r="G396" s="306"/>
      <c r="H396" s="354"/>
      <c r="I396" s="302"/>
      <c r="J396" s="336"/>
    </row>
    <row r="397" spans="1:10" x14ac:dyDescent="0.25">
      <c r="A397" s="303"/>
      <c r="B397" s="332"/>
      <c r="C397" s="581"/>
      <c r="D397" s="605"/>
      <c r="E397" s="297"/>
      <c r="F397" s="298"/>
      <c r="G397" s="306"/>
      <c r="H397" s="354"/>
      <c r="I397" s="302"/>
      <c r="J397" s="336"/>
    </row>
    <row r="398" spans="1:10" x14ac:dyDescent="0.25">
      <c r="A398" s="303"/>
      <c r="B398" s="332"/>
      <c r="C398" s="581"/>
      <c r="D398" s="605"/>
      <c r="E398" s="297"/>
      <c r="F398" s="298"/>
      <c r="G398" s="306"/>
      <c r="H398" s="354"/>
      <c r="I398" s="302"/>
      <c r="J398" s="336"/>
    </row>
    <row r="399" spans="1:10" x14ac:dyDescent="0.25">
      <c r="A399" s="303"/>
      <c r="B399" s="332"/>
      <c r="C399" s="581"/>
      <c r="D399" s="605"/>
      <c r="E399" s="297"/>
      <c r="F399" s="298"/>
      <c r="G399" s="306"/>
      <c r="H399" s="354"/>
      <c r="I399" s="302"/>
      <c r="J399" s="336"/>
    </row>
    <row r="400" spans="1:10" x14ac:dyDescent="0.25">
      <c r="A400" s="303"/>
      <c r="B400" s="332"/>
      <c r="C400" s="581"/>
      <c r="D400" s="605"/>
      <c r="E400" s="297"/>
      <c r="F400" s="298"/>
      <c r="G400" s="306"/>
      <c r="H400" s="354"/>
      <c r="I400" s="302"/>
      <c r="J400" s="336"/>
    </row>
    <row r="401" spans="1:10" x14ac:dyDescent="0.25">
      <c r="A401" s="303"/>
      <c r="B401" s="332"/>
      <c r="C401" s="581"/>
      <c r="D401" s="605"/>
      <c r="E401" s="297"/>
      <c r="F401" s="298"/>
      <c r="G401" s="306"/>
      <c r="H401" s="354"/>
      <c r="I401" s="302"/>
      <c r="J401" s="336"/>
    </row>
    <row r="402" spans="1:10" x14ac:dyDescent="0.25">
      <c r="A402" s="303"/>
      <c r="B402" s="332"/>
      <c r="C402" s="581"/>
      <c r="D402" s="605"/>
      <c r="E402" s="297"/>
      <c r="F402" s="298"/>
      <c r="G402" s="306"/>
      <c r="H402" s="354"/>
      <c r="I402" s="302"/>
      <c r="J402" s="336"/>
    </row>
    <row r="403" spans="1:10" x14ac:dyDescent="0.25">
      <c r="A403" s="303"/>
      <c r="B403" s="332"/>
      <c r="C403" s="581"/>
      <c r="D403" s="355" t="s">
        <v>199</v>
      </c>
      <c r="E403" s="297" t="s">
        <v>12</v>
      </c>
      <c r="F403" s="298">
        <f>+(3.7+22.5)*1.5</f>
        <v>39.299999999999997</v>
      </c>
      <c r="G403" s="353">
        <v>481600</v>
      </c>
      <c r="H403" s="309">
        <v>0.8</v>
      </c>
      <c r="I403" s="353">
        <f>F403*G403*H403</f>
        <v>15141504</v>
      </c>
      <c r="J403" s="336"/>
    </row>
    <row r="404" spans="1:10" x14ac:dyDescent="0.25">
      <c r="A404" s="303"/>
      <c r="B404" s="332"/>
      <c r="C404" s="581"/>
      <c r="D404" s="605" t="s">
        <v>200</v>
      </c>
      <c r="E404" s="297"/>
      <c r="F404" s="298"/>
      <c r="G404" s="306"/>
      <c r="H404" s="354"/>
      <c r="I404" s="302"/>
      <c r="J404" s="336"/>
    </row>
    <row r="405" spans="1:10" x14ac:dyDescent="0.25">
      <c r="A405" s="303"/>
      <c r="B405" s="332"/>
      <c r="C405" s="581"/>
      <c r="D405" s="605"/>
      <c r="E405" s="297"/>
      <c r="F405" s="298"/>
      <c r="G405" s="306"/>
      <c r="H405" s="354"/>
      <c r="I405" s="302"/>
      <c r="J405" s="336"/>
    </row>
    <row r="406" spans="1:10" x14ac:dyDescent="0.25">
      <c r="A406" s="303"/>
      <c r="B406" s="332"/>
      <c r="C406" s="581"/>
      <c r="D406" s="606" t="s">
        <v>201</v>
      </c>
      <c r="E406" s="297" t="s">
        <v>12</v>
      </c>
      <c r="F406" s="298">
        <f>2.8*5.7</f>
        <v>15.959999999999999</v>
      </c>
      <c r="G406" s="353">
        <f>2309288*(1-0.085)</f>
        <v>2112998.52</v>
      </c>
      <c r="H406" s="309">
        <v>0.8</v>
      </c>
      <c r="I406" s="353">
        <f>F406*G406*H406</f>
        <v>26978765.103359997</v>
      </c>
      <c r="J406" s="336"/>
    </row>
    <row r="407" spans="1:10" x14ac:dyDescent="0.25">
      <c r="A407" s="303"/>
      <c r="B407" s="332"/>
      <c r="C407" s="581"/>
      <c r="D407" s="606"/>
      <c r="E407" s="297"/>
      <c r="F407" s="298"/>
      <c r="G407" s="353"/>
      <c r="H407" s="309"/>
      <c r="I407" s="353"/>
      <c r="J407" s="336"/>
    </row>
    <row r="408" spans="1:10" x14ac:dyDescent="0.25">
      <c r="A408" s="303"/>
      <c r="B408" s="332"/>
      <c r="C408" s="581"/>
      <c r="D408" s="605" t="s">
        <v>202</v>
      </c>
      <c r="E408" s="297"/>
      <c r="F408" s="298"/>
      <c r="G408" s="306"/>
      <c r="H408" s="354"/>
      <c r="I408" s="302"/>
      <c r="J408" s="336"/>
    </row>
    <row r="409" spans="1:10" x14ac:dyDescent="0.25">
      <c r="A409" s="303"/>
      <c r="B409" s="332"/>
      <c r="C409" s="581"/>
      <c r="D409" s="605"/>
      <c r="E409" s="297"/>
      <c r="F409" s="298"/>
      <c r="G409" s="306"/>
      <c r="H409" s="354"/>
      <c r="I409" s="302"/>
      <c r="J409" s="336"/>
    </row>
    <row r="410" spans="1:10" x14ac:dyDescent="0.25">
      <c r="A410" s="303"/>
      <c r="B410" s="332"/>
      <c r="C410" s="581"/>
      <c r="D410" s="605"/>
      <c r="E410" s="297"/>
      <c r="F410" s="298"/>
      <c r="G410" s="306"/>
      <c r="H410" s="354"/>
      <c r="I410" s="302"/>
      <c r="J410" s="336"/>
    </row>
    <row r="411" spans="1:10" x14ac:dyDescent="0.25">
      <c r="A411" s="303"/>
      <c r="B411" s="332"/>
      <c r="C411" s="581"/>
      <c r="D411" s="605"/>
      <c r="E411" s="297"/>
      <c r="F411" s="298"/>
      <c r="G411" s="306"/>
      <c r="H411" s="354"/>
      <c r="I411" s="302"/>
      <c r="J411" s="336"/>
    </row>
    <row r="412" spans="1:10" x14ac:dyDescent="0.25">
      <c r="A412" s="303"/>
      <c r="B412" s="332"/>
      <c r="C412" s="581"/>
      <c r="D412" s="605"/>
      <c r="E412" s="297"/>
      <c r="F412" s="298"/>
      <c r="G412" s="306"/>
      <c r="H412" s="354"/>
      <c r="I412" s="302"/>
      <c r="J412" s="336"/>
    </row>
    <row r="413" spans="1:10" x14ac:dyDescent="0.25">
      <c r="A413" s="303"/>
      <c r="B413" s="332"/>
      <c r="C413" s="581"/>
      <c r="D413" s="606" t="s">
        <v>203</v>
      </c>
      <c r="E413" s="297" t="s">
        <v>12</v>
      </c>
      <c r="F413" s="298">
        <f>3.3*4.5</f>
        <v>14.85</v>
      </c>
      <c r="G413" s="353">
        <f>3003570*(1+0.085)</f>
        <v>3258873.4499999997</v>
      </c>
      <c r="H413" s="309">
        <v>0.8</v>
      </c>
      <c r="I413" s="353">
        <f>F413*G413*H413</f>
        <v>38715416.585999995</v>
      </c>
      <c r="J413" s="336"/>
    </row>
    <row r="414" spans="1:10" x14ac:dyDescent="0.25">
      <c r="A414" s="303"/>
      <c r="B414" s="332"/>
      <c r="C414" s="581"/>
      <c r="D414" s="606"/>
      <c r="E414" s="297"/>
      <c r="F414" s="298"/>
      <c r="G414" s="353"/>
      <c r="H414" s="309"/>
      <c r="I414" s="353"/>
      <c r="J414" s="336"/>
    </row>
    <row r="415" spans="1:10" x14ac:dyDescent="0.25">
      <c r="A415" s="303"/>
      <c r="B415" s="332"/>
      <c r="C415" s="581"/>
      <c r="D415" s="605" t="s">
        <v>204</v>
      </c>
      <c r="E415" s="297"/>
      <c r="F415" s="298"/>
      <c r="G415" s="306"/>
      <c r="H415" s="354"/>
      <c r="I415" s="302"/>
      <c r="J415" s="336"/>
    </row>
    <row r="416" spans="1:10" x14ac:dyDescent="0.25">
      <c r="A416" s="303"/>
      <c r="B416" s="332"/>
      <c r="C416" s="581"/>
      <c r="D416" s="605"/>
      <c r="E416" s="297"/>
      <c r="F416" s="298"/>
      <c r="G416" s="306"/>
      <c r="H416" s="354"/>
      <c r="I416" s="302"/>
      <c r="J416" s="336"/>
    </row>
    <row r="417" spans="1:10" x14ac:dyDescent="0.25">
      <c r="A417" s="303"/>
      <c r="B417" s="332"/>
      <c r="C417" s="581"/>
      <c r="D417" s="605"/>
      <c r="E417" s="297"/>
      <c r="F417" s="298"/>
      <c r="G417" s="306"/>
      <c r="H417" s="354"/>
      <c r="I417" s="302"/>
      <c r="J417" s="336"/>
    </row>
    <row r="418" spans="1:10" x14ac:dyDescent="0.25">
      <c r="A418" s="303"/>
      <c r="B418" s="332"/>
      <c r="C418" s="581"/>
      <c r="D418" s="605"/>
      <c r="E418" s="297"/>
      <c r="F418" s="298"/>
      <c r="G418" s="306"/>
      <c r="H418" s="354"/>
      <c r="I418" s="302"/>
      <c r="J418" s="336"/>
    </row>
    <row r="419" spans="1:10" x14ac:dyDescent="0.25">
      <c r="A419" s="303"/>
      <c r="B419" s="332"/>
      <c r="C419" s="581"/>
      <c r="D419" s="605"/>
      <c r="E419" s="297"/>
      <c r="F419" s="298"/>
      <c r="G419" s="306"/>
      <c r="H419" s="354"/>
      <c r="I419" s="302"/>
      <c r="J419" s="336"/>
    </row>
    <row r="420" spans="1:10" s="111" customFormat="1" ht="19.5" customHeight="1" x14ac:dyDescent="0.2">
      <c r="A420" s="303"/>
      <c r="B420" s="332"/>
      <c r="C420" s="581"/>
      <c r="D420" s="351" t="s">
        <v>205</v>
      </c>
      <c r="E420" s="432" t="s">
        <v>193</v>
      </c>
      <c r="F420" s="433">
        <v>9.1</v>
      </c>
      <c r="G420" s="434">
        <f>1112824*(1-0.085)</f>
        <v>1018233.9600000001</v>
      </c>
      <c r="H420" s="435">
        <v>1</v>
      </c>
      <c r="I420" s="434">
        <f>F420*G420*H420</f>
        <v>9265929.0360000003</v>
      </c>
      <c r="J420" s="436"/>
    </row>
    <row r="421" spans="1:10" x14ac:dyDescent="0.25">
      <c r="A421" s="303"/>
      <c r="B421" s="332"/>
      <c r="C421" s="581"/>
      <c r="D421" s="605" t="s">
        <v>206</v>
      </c>
      <c r="E421" s="297"/>
      <c r="F421" s="298"/>
      <c r="G421" s="306"/>
      <c r="H421" s="354"/>
      <c r="I421" s="302"/>
      <c r="J421" s="336"/>
    </row>
    <row r="422" spans="1:10" x14ac:dyDescent="0.25">
      <c r="A422" s="303"/>
      <c r="B422" s="332"/>
      <c r="C422" s="581"/>
      <c r="D422" s="605"/>
      <c r="E422" s="297"/>
      <c r="F422" s="298"/>
      <c r="G422" s="306"/>
      <c r="H422" s="354"/>
      <c r="I422" s="302"/>
      <c r="J422" s="336"/>
    </row>
    <row r="423" spans="1:10" x14ac:dyDescent="0.25">
      <c r="A423" s="303"/>
      <c r="B423" s="332"/>
      <c r="C423" s="581"/>
      <c r="D423" s="605"/>
      <c r="E423" s="297"/>
      <c r="F423" s="298"/>
      <c r="G423" s="306"/>
      <c r="H423" s="354"/>
      <c r="I423" s="302"/>
      <c r="J423" s="336"/>
    </row>
    <row r="424" spans="1:10" x14ac:dyDescent="0.25">
      <c r="A424" s="303"/>
      <c r="B424" s="332"/>
      <c r="C424" s="581"/>
      <c r="D424" s="605"/>
      <c r="E424" s="297"/>
      <c r="F424" s="298"/>
      <c r="G424" s="306"/>
      <c r="H424" s="354"/>
      <c r="I424" s="302"/>
      <c r="J424" s="336"/>
    </row>
    <row r="425" spans="1:10" x14ac:dyDescent="0.25">
      <c r="A425" s="303"/>
      <c r="B425" s="332"/>
      <c r="C425" s="581"/>
      <c r="D425" s="605"/>
      <c r="E425" s="297"/>
      <c r="F425" s="298"/>
      <c r="G425" s="306"/>
      <c r="H425" s="354"/>
      <c r="I425" s="302"/>
      <c r="J425" s="336"/>
    </row>
    <row r="426" spans="1:10" x14ac:dyDescent="0.25">
      <c r="A426" s="303"/>
      <c r="B426" s="332"/>
      <c r="C426" s="581"/>
      <c r="D426" s="605"/>
      <c r="E426" s="297"/>
      <c r="F426" s="298"/>
      <c r="G426" s="306"/>
      <c r="H426" s="354"/>
      <c r="I426" s="302"/>
      <c r="J426" s="336"/>
    </row>
    <row r="427" spans="1:10" x14ac:dyDescent="0.25">
      <c r="A427" s="303"/>
      <c r="B427" s="332"/>
      <c r="C427" s="581"/>
      <c r="D427" s="281" t="s">
        <v>207</v>
      </c>
      <c r="E427" s="297"/>
      <c r="F427" s="298"/>
      <c r="G427" s="306"/>
      <c r="H427" s="354"/>
      <c r="I427" s="302"/>
      <c r="J427" s="336"/>
    </row>
    <row r="428" spans="1:10" x14ac:dyDescent="0.25">
      <c r="A428" s="303"/>
      <c r="B428" s="332"/>
      <c r="C428" s="581"/>
      <c r="D428" s="606" t="s">
        <v>208</v>
      </c>
      <c r="E428" s="297" t="s">
        <v>120</v>
      </c>
      <c r="F428" s="298">
        <v>9.86</v>
      </c>
      <c r="G428" s="356">
        <v>2065326</v>
      </c>
      <c r="H428" s="357">
        <v>1</v>
      </c>
      <c r="I428" s="358">
        <f>H428*G428*F428</f>
        <v>20364114.359999999</v>
      </c>
      <c r="J428" s="336"/>
    </row>
    <row r="429" spans="1:10" x14ac:dyDescent="0.25">
      <c r="A429" s="303"/>
      <c r="B429" s="332"/>
      <c r="C429" s="581"/>
      <c r="D429" s="606"/>
      <c r="E429" s="297"/>
      <c r="F429" s="298"/>
      <c r="G429" s="306"/>
      <c r="H429" s="354"/>
      <c r="I429" s="302"/>
      <c r="J429" s="336"/>
    </row>
    <row r="430" spans="1:10" x14ac:dyDescent="0.25">
      <c r="A430" s="303"/>
      <c r="B430" s="332"/>
      <c r="C430" s="581"/>
      <c r="D430" s="606"/>
      <c r="E430" s="297"/>
      <c r="F430" s="298"/>
      <c r="G430" s="306"/>
      <c r="H430" s="354"/>
      <c r="I430" s="302"/>
      <c r="J430" s="336"/>
    </row>
    <row r="431" spans="1:10" x14ac:dyDescent="0.25">
      <c r="A431" s="303"/>
      <c r="B431" s="332"/>
      <c r="C431" s="581"/>
      <c r="D431" s="605" t="s">
        <v>209</v>
      </c>
      <c r="E431" s="297"/>
      <c r="F431" s="298"/>
      <c r="G431" s="306"/>
      <c r="H431" s="354"/>
      <c r="I431" s="302"/>
      <c r="J431" s="336"/>
    </row>
    <row r="432" spans="1:10" x14ac:dyDescent="0.25">
      <c r="A432" s="303"/>
      <c r="B432" s="332"/>
      <c r="C432" s="581"/>
      <c r="D432" s="605"/>
      <c r="E432" s="297"/>
      <c r="F432" s="298"/>
      <c r="G432" s="359"/>
      <c r="H432" s="354"/>
      <c r="I432" s="302"/>
      <c r="J432" s="336"/>
    </row>
    <row r="433" spans="1:10" x14ac:dyDescent="0.25">
      <c r="A433" s="303"/>
      <c r="B433" s="332"/>
      <c r="C433" s="581"/>
      <c r="D433" s="605"/>
      <c r="E433" s="297"/>
      <c r="F433" s="298"/>
      <c r="G433" s="359"/>
      <c r="H433" s="354"/>
      <c r="I433" s="302"/>
      <c r="J433" s="336"/>
    </row>
    <row r="434" spans="1:10" x14ac:dyDescent="0.25">
      <c r="A434" s="303"/>
      <c r="B434" s="332"/>
      <c r="C434" s="581"/>
      <c r="D434" s="605"/>
      <c r="E434" s="297"/>
      <c r="F434" s="298"/>
      <c r="G434" s="359"/>
      <c r="H434" s="354"/>
      <c r="I434" s="302"/>
      <c r="J434" s="336"/>
    </row>
    <row r="435" spans="1:10" x14ac:dyDescent="0.25">
      <c r="A435" s="303"/>
      <c r="B435" s="332"/>
      <c r="C435" s="581"/>
      <c r="D435" s="605"/>
      <c r="E435" s="297"/>
      <c r="F435" s="298"/>
      <c r="G435" s="359"/>
      <c r="H435" s="354"/>
      <c r="I435" s="302"/>
      <c r="J435" s="336"/>
    </row>
    <row r="436" spans="1:10" x14ac:dyDescent="0.25">
      <c r="A436" s="303"/>
      <c r="B436" s="332"/>
      <c r="C436" s="581"/>
      <c r="D436" s="605"/>
      <c r="E436" s="297"/>
      <c r="F436" s="298"/>
      <c r="G436" s="359"/>
      <c r="H436" s="354"/>
      <c r="I436" s="302"/>
      <c r="J436" s="336"/>
    </row>
    <row r="437" spans="1:10" x14ac:dyDescent="0.25">
      <c r="A437" s="303"/>
      <c r="B437" s="332"/>
      <c r="C437" s="581"/>
      <c r="D437" s="606" t="s">
        <v>210</v>
      </c>
      <c r="E437" s="297" t="s">
        <v>120</v>
      </c>
      <c r="F437" s="298">
        <f>2.4*9.7</f>
        <v>23.279999999999998</v>
      </c>
      <c r="G437" s="356">
        <v>2065326</v>
      </c>
      <c r="H437" s="357">
        <v>1</v>
      </c>
      <c r="I437" s="358">
        <f>H437*G437*F437</f>
        <v>48080789.279999994</v>
      </c>
      <c r="J437" s="336"/>
    </row>
    <row r="438" spans="1:10" x14ac:dyDescent="0.25">
      <c r="A438" s="303"/>
      <c r="B438" s="332"/>
      <c r="C438" s="581"/>
      <c r="D438" s="606"/>
      <c r="E438" s="297"/>
      <c r="F438" s="298"/>
      <c r="G438" s="356"/>
      <c r="H438" s="357"/>
      <c r="I438" s="358"/>
      <c r="J438" s="336"/>
    </row>
    <row r="439" spans="1:10" x14ac:dyDescent="0.25">
      <c r="A439" s="303"/>
      <c r="B439" s="332"/>
      <c r="C439" s="581"/>
      <c r="D439" s="606"/>
      <c r="E439" s="297"/>
      <c r="F439" s="298"/>
      <c r="G439" s="356"/>
      <c r="H439" s="357"/>
      <c r="I439" s="358"/>
      <c r="J439" s="336"/>
    </row>
    <row r="440" spans="1:10" x14ac:dyDescent="0.25">
      <c r="A440" s="303"/>
      <c r="B440" s="332"/>
      <c r="C440" s="581"/>
      <c r="D440" s="606"/>
      <c r="E440" s="297"/>
      <c r="F440" s="298"/>
      <c r="G440" s="356"/>
      <c r="H440" s="357"/>
      <c r="I440" s="358"/>
      <c r="J440" s="336"/>
    </row>
    <row r="441" spans="1:10" x14ac:dyDescent="0.25">
      <c r="A441" s="303"/>
      <c r="B441" s="332"/>
      <c r="C441" s="581"/>
      <c r="D441" s="605" t="s">
        <v>211</v>
      </c>
      <c r="E441" s="297"/>
      <c r="F441" s="298"/>
      <c r="G441" s="306"/>
      <c r="H441" s="354"/>
      <c r="I441" s="302"/>
      <c r="J441" s="336"/>
    </row>
    <row r="442" spans="1:10" x14ac:dyDescent="0.25">
      <c r="A442" s="303"/>
      <c r="B442" s="332"/>
      <c r="C442" s="581"/>
      <c r="D442" s="605"/>
      <c r="E442" s="297"/>
      <c r="F442" s="298"/>
      <c r="G442" s="359"/>
      <c r="H442" s="354"/>
      <c r="I442" s="302"/>
      <c r="J442" s="336"/>
    </row>
    <row r="443" spans="1:10" x14ac:dyDescent="0.25">
      <c r="A443" s="303"/>
      <c r="B443" s="332"/>
      <c r="C443" s="581"/>
      <c r="D443" s="605"/>
      <c r="E443" s="297"/>
      <c r="F443" s="298"/>
      <c r="G443" s="359"/>
      <c r="H443" s="354"/>
      <c r="I443" s="302"/>
      <c r="J443" s="336"/>
    </row>
    <row r="444" spans="1:10" x14ac:dyDescent="0.25">
      <c r="A444" s="303"/>
      <c r="B444" s="332"/>
      <c r="C444" s="581"/>
      <c r="D444" s="605"/>
      <c r="E444" s="297"/>
      <c r="F444" s="298"/>
      <c r="G444" s="359"/>
      <c r="H444" s="354"/>
      <c r="I444" s="302"/>
      <c r="J444" s="336"/>
    </row>
    <row r="445" spans="1:10" x14ac:dyDescent="0.25">
      <c r="A445" s="303"/>
      <c r="B445" s="332"/>
      <c r="C445" s="581"/>
      <c r="D445" s="605"/>
      <c r="E445" s="297"/>
      <c r="F445" s="298"/>
      <c r="G445" s="359"/>
      <c r="H445" s="354"/>
      <c r="I445" s="302"/>
      <c r="J445" s="336"/>
    </row>
    <row r="446" spans="1:10" x14ac:dyDescent="0.25">
      <c r="A446" s="303"/>
      <c r="B446" s="332"/>
      <c r="C446" s="581"/>
      <c r="D446" s="605"/>
      <c r="E446" s="297"/>
      <c r="F446" s="298"/>
      <c r="G446" s="359"/>
      <c r="H446" s="354"/>
      <c r="I446" s="302"/>
      <c r="J446" s="336"/>
    </row>
    <row r="447" spans="1:10" x14ac:dyDescent="0.25">
      <c r="A447" s="303"/>
      <c r="B447" s="351"/>
      <c r="C447" s="581"/>
      <c r="D447" s="606" t="s">
        <v>212</v>
      </c>
      <c r="E447" s="297" t="s">
        <v>120</v>
      </c>
      <c r="F447" s="298">
        <f>0.6*7.4</f>
        <v>4.4400000000000004</v>
      </c>
      <c r="G447" s="356">
        <v>741439</v>
      </c>
      <c r="H447" s="357">
        <v>0.8</v>
      </c>
      <c r="I447" s="358">
        <f>H447*G447*F447</f>
        <v>2633591.3280000007</v>
      </c>
      <c r="J447" s="336"/>
    </row>
    <row r="448" spans="1:10" x14ac:dyDescent="0.25">
      <c r="A448" s="303"/>
      <c r="B448" s="351"/>
      <c r="C448" s="581"/>
      <c r="D448" s="606"/>
      <c r="E448" s="297"/>
      <c r="F448" s="298"/>
      <c r="G448" s="356"/>
      <c r="H448" s="357"/>
      <c r="I448" s="358"/>
      <c r="J448" s="336"/>
    </row>
    <row r="449" spans="1:10" x14ac:dyDescent="0.25">
      <c r="A449" s="303"/>
      <c r="B449" s="351"/>
      <c r="C449" s="581"/>
      <c r="D449" s="605" t="s">
        <v>213</v>
      </c>
      <c r="E449" s="297"/>
      <c r="F449" s="298"/>
      <c r="G449" s="306"/>
      <c r="H449" s="354"/>
      <c r="I449" s="302"/>
      <c r="J449" s="336"/>
    </row>
    <row r="450" spans="1:10" x14ac:dyDescent="0.25">
      <c r="A450" s="303"/>
      <c r="B450" s="351"/>
      <c r="C450" s="581"/>
      <c r="D450" s="605"/>
      <c r="E450" s="297"/>
      <c r="F450" s="298"/>
      <c r="G450" s="359"/>
      <c r="H450" s="354"/>
      <c r="I450" s="302"/>
      <c r="J450" s="336"/>
    </row>
    <row r="451" spans="1:10" x14ac:dyDescent="0.25">
      <c r="A451" s="303"/>
      <c r="B451" s="351"/>
      <c r="C451" s="581"/>
      <c r="D451" s="606" t="s">
        <v>214</v>
      </c>
      <c r="E451" s="297" t="s">
        <v>120</v>
      </c>
      <c r="F451" s="298">
        <f>(4*4)+(1.5*3.6)</f>
        <v>21.4</v>
      </c>
      <c r="G451" s="356">
        <v>409513</v>
      </c>
      <c r="H451" s="357">
        <v>0.8</v>
      </c>
      <c r="I451" s="358">
        <f>H451*G451*F451</f>
        <v>7010862.5599999996</v>
      </c>
      <c r="J451" s="302"/>
    </row>
    <row r="452" spans="1:10" x14ac:dyDescent="0.25">
      <c r="A452" s="303"/>
      <c r="B452" s="351"/>
      <c r="C452" s="581"/>
      <c r="D452" s="606"/>
      <c r="E452" s="297"/>
      <c r="F452" s="298"/>
      <c r="G452" s="356"/>
      <c r="H452" s="357"/>
      <c r="I452" s="358"/>
      <c r="J452" s="302"/>
    </row>
    <row r="453" spans="1:10" x14ac:dyDescent="0.25">
      <c r="A453" s="303"/>
      <c r="B453" s="351"/>
      <c r="C453" s="581"/>
      <c r="D453" s="605" t="s">
        <v>215</v>
      </c>
      <c r="E453" s="297"/>
      <c r="F453" s="298"/>
      <c r="G453" s="306"/>
      <c r="H453" s="354"/>
      <c r="I453" s="302"/>
      <c r="J453" s="360"/>
    </row>
    <row r="454" spans="1:10" x14ac:dyDescent="0.25">
      <c r="A454" s="303"/>
      <c r="B454" s="351"/>
      <c r="C454" s="581"/>
      <c r="D454" s="605"/>
      <c r="E454" s="297"/>
      <c r="F454" s="298"/>
      <c r="G454" s="359"/>
      <c r="H454" s="354"/>
      <c r="I454" s="302"/>
      <c r="J454" s="360"/>
    </row>
    <row r="455" spans="1:10" x14ac:dyDescent="0.25">
      <c r="A455" s="303"/>
      <c r="B455" s="351"/>
      <c r="C455" s="581"/>
      <c r="D455" s="361" t="s">
        <v>216</v>
      </c>
      <c r="E455" s="297" t="s">
        <v>145</v>
      </c>
      <c r="F455" s="362">
        <v>22</v>
      </c>
      <c r="G455" s="356">
        <v>357656</v>
      </c>
      <c r="H455" s="357">
        <v>1</v>
      </c>
      <c r="I455" s="358">
        <f>H455*G455*F455</f>
        <v>7868432</v>
      </c>
      <c r="J455" s="302"/>
    </row>
    <row r="456" spans="1:10" x14ac:dyDescent="0.25">
      <c r="A456" s="303"/>
      <c r="B456" s="351"/>
      <c r="C456" s="581"/>
      <c r="D456" s="605" t="s">
        <v>217</v>
      </c>
      <c r="E456" s="297"/>
      <c r="F456" s="362"/>
      <c r="G456" s="363"/>
      <c r="H456" s="364"/>
      <c r="I456" s="365"/>
      <c r="J456" s="302"/>
    </row>
    <row r="457" spans="1:10" x14ac:dyDescent="0.25">
      <c r="A457" s="303"/>
      <c r="B457" s="351"/>
      <c r="C457" s="581"/>
      <c r="D457" s="605"/>
      <c r="E457" s="297"/>
      <c r="F457" s="362"/>
      <c r="G457" s="363"/>
      <c r="H457" s="364"/>
      <c r="I457" s="365"/>
      <c r="J457" s="336"/>
    </row>
    <row r="458" spans="1:10" ht="20.25" customHeight="1" x14ac:dyDescent="0.25">
      <c r="A458" s="303"/>
      <c r="B458" s="351"/>
      <c r="C458" s="581"/>
      <c r="D458" s="355" t="s">
        <v>218</v>
      </c>
      <c r="E458" s="432" t="s">
        <v>12</v>
      </c>
      <c r="F458" s="438">
        <f>(2.4*9.7)+(7.5*1.3)</f>
        <v>33.03</v>
      </c>
      <c r="G458" s="439">
        <v>792819</v>
      </c>
      <c r="H458" s="440">
        <v>0.8</v>
      </c>
      <c r="I458" s="441">
        <f>H458*G458*F458</f>
        <v>20949449.256000005</v>
      </c>
      <c r="J458" s="336"/>
    </row>
    <row r="459" spans="1:10" x14ac:dyDescent="0.25">
      <c r="A459" s="303"/>
      <c r="B459" s="351"/>
      <c r="C459" s="581"/>
      <c r="D459" s="605" t="s">
        <v>219</v>
      </c>
      <c r="E459" s="297"/>
      <c r="F459" s="362"/>
      <c r="G459" s="363"/>
      <c r="H459" s="364"/>
      <c r="I459" s="365"/>
      <c r="J459" s="336"/>
    </row>
    <row r="460" spans="1:10" x14ac:dyDescent="0.25">
      <c r="A460" s="303"/>
      <c r="B460" s="351"/>
      <c r="C460" s="581"/>
      <c r="D460" s="605"/>
      <c r="E460" s="297"/>
      <c r="F460" s="362"/>
      <c r="G460" s="363"/>
      <c r="H460" s="364"/>
      <c r="I460" s="365"/>
      <c r="J460" s="336"/>
    </row>
    <row r="461" spans="1:10" x14ac:dyDescent="0.25">
      <c r="A461" s="303"/>
      <c r="B461" s="351"/>
      <c r="C461" s="581"/>
      <c r="D461" s="605"/>
      <c r="E461" s="297"/>
      <c r="F461" s="362"/>
      <c r="G461" s="363"/>
      <c r="H461" s="364"/>
      <c r="I461" s="365"/>
      <c r="J461" s="336"/>
    </row>
    <row r="462" spans="1:10" ht="17.25" x14ac:dyDescent="0.25">
      <c r="A462" s="303"/>
      <c r="B462" s="351"/>
      <c r="C462" s="581"/>
      <c r="D462" s="366" t="s">
        <v>220</v>
      </c>
      <c r="E462" s="297"/>
      <c r="F462" s="298"/>
      <c r="G462" s="306"/>
      <c r="H462" s="354"/>
      <c r="I462" s="302"/>
      <c r="J462" s="336"/>
    </row>
    <row r="463" spans="1:10" x14ac:dyDescent="0.25">
      <c r="A463" s="303"/>
      <c r="B463" s="351"/>
      <c r="C463" s="581"/>
      <c r="D463" s="606" t="s">
        <v>221</v>
      </c>
      <c r="E463" s="297" t="s">
        <v>120</v>
      </c>
      <c r="F463" s="298">
        <v>56.4</v>
      </c>
      <c r="G463" s="353">
        <f>4076248*(1.12+0.085)</f>
        <v>4911878.84</v>
      </c>
      <c r="H463" s="309">
        <v>0.8</v>
      </c>
      <c r="I463" s="353">
        <f>F463*G463*H463</f>
        <v>221623973.2608</v>
      </c>
      <c r="J463" s="336"/>
    </row>
    <row r="464" spans="1:10" x14ac:dyDescent="0.25">
      <c r="A464" s="303"/>
      <c r="B464" s="351"/>
      <c r="C464" s="581"/>
      <c r="D464" s="606"/>
      <c r="E464" s="297"/>
      <c r="F464" s="298"/>
      <c r="G464" s="306"/>
      <c r="H464" s="354"/>
      <c r="I464" s="302"/>
      <c r="J464" s="336"/>
    </row>
    <row r="465" spans="1:10" x14ac:dyDescent="0.25">
      <c r="A465" s="303"/>
      <c r="B465" s="351"/>
      <c r="C465" s="581"/>
      <c r="D465" s="606"/>
      <c r="E465" s="297"/>
      <c r="F465" s="298"/>
      <c r="G465" s="306"/>
      <c r="H465" s="354"/>
      <c r="I465" s="302"/>
      <c r="J465" s="336"/>
    </row>
    <row r="466" spans="1:10" x14ac:dyDescent="0.25">
      <c r="A466" s="303"/>
      <c r="B466" s="351"/>
      <c r="C466" s="581"/>
      <c r="D466" s="606"/>
      <c r="E466" s="297"/>
      <c r="F466" s="298"/>
      <c r="G466" s="306"/>
      <c r="H466" s="354"/>
      <c r="I466" s="302"/>
      <c r="J466" s="336"/>
    </row>
    <row r="467" spans="1:10" x14ac:dyDescent="0.25">
      <c r="A467" s="303"/>
      <c r="B467" s="351"/>
      <c r="C467" s="581"/>
      <c r="D467" s="605" t="s">
        <v>222</v>
      </c>
      <c r="E467" s="297"/>
      <c r="F467" s="298"/>
      <c r="G467" s="306"/>
      <c r="H467" s="354"/>
      <c r="I467" s="302"/>
      <c r="J467" s="336"/>
    </row>
    <row r="468" spans="1:10" x14ac:dyDescent="0.25">
      <c r="A468" s="303"/>
      <c r="B468" s="351"/>
      <c r="C468" s="581"/>
      <c r="D468" s="605"/>
      <c r="E468" s="297"/>
      <c r="F468" s="298"/>
      <c r="G468" s="306"/>
      <c r="H468" s="354"/>
      <c r="I468" s="302"/>
      <c r="J468" s="336"/>
    </row>
    <row r="469" spans="1:10" x14ac:dyDescent="0.25">
      <c r="A469" s="303"/>
      <c r="B469" s="351"/>
      <c r="C469" s="581"/>
      <c r="D469" s="605"/>
      <c r="E469" s="297"/>
      <c r="F469" s="298"/>
      <c r="G469" s="306"/>
      <c r="H469" s="354"/>
      <c r="I469" s="302"/>
      <c r="J469" s="336"/>
    </row>
    <row r="470" spans="1:10" x14ac:dyDescent="0.25">
      <c r="A470" s="303"/>
      <c r="B470" s="351"/>
      <c r="C470" s="581"/>
      <c r="D470" s="605"/>
      <c r="E470" s="297"/>
      <c r="F470" s="298"/>
      <c r="G470" s="306"/>
      <c r="H470" s="354"/>
      <c r="I470" s="302"/>
      <c r="J470" s="336"/>
    </row>
    <row r="471" spans="1:10" x14ac:dyDescent="0.25">
      <c r="A471" s="303"/>
      <c r="B471" s="351"/>
      <c r="C471" s="581"/>
      <c r="D471" s="605"/>
      <c r="E471" s="297"/>
      <c r="F471" s="298"/>
      <c r="G471" s="306"/>
      <c r="H471" s="354"/>
      <c r="I471" s="302"/>
      <c r="J471" s="336"/>
    </row>
    <row r="472" spans="1:10" x14ac:dyDescent="0.25">
      <c r="A472" s="303"/>
      <c r="B472" s="351"/>
      <c r="C472" s="581"/>
      <c r="D472" s="605"/>
      <c r="E472" s="297"/>
      <c r="F472" s="298"/>
      <c r="G472" s="306"/>
      <c r="H472" s="354"/>
      <c r="I472" s="302"/>
      <c r="J472" s="336"/>
    </row>
    <row r="473" spans="1:10" x14ac:dyDescent="0.25">
      <c r="A473" s="303"/>
      <c r="B473" s="351"/>
      <c r="C473" s="581"/>
      <c r="D473" s="605"/>
      <c r="E473" s="297"/>
      <c r="F473" s="298"/>
      <c r="G473" s="306"/>
      <c r="H473" s="354"/>
      <c r="I473" s="302"/>
      <c r="J473" s="336"/>
    </row>
    <row r="474" spans="1:10" x14ac:dyDescent="0.25">
      <c r="A474" s="303"/>
      <c r="B474" s="351"/>
      <c r="C474" s="581"/>
      <c r="D474" s="355" t="s">
        <v>223</v>
      </c>
      <c r="E474" s="297" t="s">
        <v>12</v>
      </c>
      <c r="F474" s="298">
        <v>4.9000000000000004</v>
      </c>
      <c r="G474" s="353">
        <v>481600</v>
      </c>
      <c r="H474" s="309">
        <v>0.8</v>
      </c>
      <c r="I474" s="353">
        <f>F474*G474*H474</f>
        <v>1887872</v>
      </c>
      <c r="J474" s="336"/>
    </row>
    <row r="475" spans="1:10" x14ac:dyDescent="0.25">
      <c r="A475" s="303"/>
      <c r="B475" s="351"/>
      <c r="C475" s="581"/>
      <c r="D475" s="605" t="s">
        <v>200</v>
      </c>
      <c r="E475" s="297"/>
      <c r="F475" s="298"/>
      <c r="G475" s="306"/>
      <c r="H475" s="354"/>
      <c r="I475" s="302"/>
      <c r="J475" s="336"/>
    </row>
    <row r="476" spans="1:10" x14ac:dyDescent="0.25">
      <c r="A476" s="303"/>
      <c r="B476" s="351"/>
      <c r="C476" s="581"/>
      <c r="D476" s="605"/>
      <c r="E476" s="297"/>
      <c r="F476" s="298"/>
      <c r="G476" s="306"/>
      <c r="H476" s="354"/>
      <c r="I476" s="302"/>
      <c r="J476" s="336"/>
    </row>
    <row r="477" spans="1:10" x14ac:dyDescent="0.25">
      <c r="A477" s="303"/>
      <c r="B477" s="351"/>
      <c r="C477" s="581"/>
      <c r="D477" s="355" t="s">
        <v>224</v>
      </c>
      <c r="E477" s="297" t="s">
        <v>12</v>
      </c>
      <c r="F477" s="298">
        <v>19.5</v>
      </c>
      <c r="G477" s="353">
        <v>230583</v>
      </c>
      <c r="H477" s="309">
        <v>0.7</v>
      </c>
      <c r="I477" s="353">
        <f>F477*G477*H477</f>
        <v>3147457.9499999997</v>
      </c>
      <c r="J477" s="336"/>
    </row>
    <row r="478" spans="1:10" x14ac:dyDescent="0.25">
      <c r="A478" s="303"/>
      <c r="B478" s="351"/>
      <c r="C478" s="581"/>
      <c r="D478" s="605" t="s">
        <v>225</v>
      </c>
      <c r="E478" s="297"/>
      <c r="F478" s="298"/>
      <c r="G478" s="306"/>
      <c r="H478" s="354"/>
      <c r="I478" s="302"/>
      <c r="J478" s="336"/>
    </row>
    <row r="479" spans="1:10" x14ac:dyDescent="0.25">
      <c r="A479" s="303"/>
      <c r="B479" s="351"/>
      <c r="C479" s="581"/>
      <c r="D479" s="605"/>
      <c r="E479" s="297"/>
      <c r="F479" s="298"/>
      <c r="G479" s="306"/>
      <c r="H479" s="354"/>
      <c r="I479" s="302"/>
      <c r="J479" s="336"/>
    </row>
    <row r="480" spans="1:10" x14ac:dyDescent="0.25">
      <c r="A480" s="303"/>
      <c r="B480" s="351"/>
      <c r="C480" s="581"/>
      <c r="D480" s="606" t="s">
        <v>226</v>
      </c>
      <c r="E480" s="297" t="s">
        <v>145</v>
      </c>
      <c r="F480" s="298">
        <v>2.8</v>
      </c>
      <c r="G480" s="353">
        <v>1453719</v>
      </c>
      <c r="H480" s="309">
        <v>1</v>
      </c>
      <c r="I480" s="353">
        <f>F480*G480*H480</f>
        <v>4070413.1999999997</v>
      </c>
      <c r="J480" s="336"/>
    </row>
    <row r="481" spans="1:10" x14ac:dyDescent="0.25">
      <c r="A481" s="303"/>
      <c r="B481" s="351"/>
      <c r="C481" s="581"/>
      <c r="D481" s="606"/>
      <c r="E481" s="297"/>
      <c r="F481" s="298"/>
      <c r="G481" s="306"/>
      <c r="H481" s="354"/>
      <c r="I481" s="302"/>
      <c r="J481" s="336"/>
    </row>
    <row r="482" spans="1:10" x14ac:dyDescent="0.25">
      <c r="A482" s="303"/>
      <c r="B482" s="351"/>
      <c r="C482" s="581"/>
      <c r="D482" s="605" t="s">
        <v>227</v>
      </c>
      <c r="E482" s="367"/>
      <c r="F482" s="368"/>
      <c r="G482" s="369"/>
      <c r="H482" s="370"/>
      <c r="I482" s="371"/>
      <c r="J482" s="336"/>
    </row>
    <row r="483" spans="1:10" x14ac:dyDescent="0.25">
      <c r="A483" s="303"/>
      <c r="B483" s="351"/>
      <c r="C483" s="581"/>
      <c r="D483" s="605"/>
      <c r="E483" s="297"/>
      <c r="F483" s="298"/>
      <c r="G483" s="306"/>
      <c r="H483" s="354"/>
      <c r="I483" s="302"/>
      <c r="J483" s="336"/>
    </row>
    <row r="484" spans="1:10" x14ac:dyDescent="0.25">
      <c r="A484" s="303"/>
      <c r="B484" s="351"/>
      <c r="C484" s="581"/>
      <c r="D484" s="606" t="s">
        <v>228</v>
      </c>
      <c r="E484" s="297" t="s">
        <v>120</v>
      </c>
      <c r="F484" s="298">
        <v>20.52</v>
      </c>
      <c r="G484" s="353">
        <v>741439</v>
      </c>
      <c r="H484" s="309">
        <v>0.8</v>
      </c>
      <c r="I484" s="353">
        <f>F484*G484*H484</f>
        <v>12171462.624</v>
      </c>
      <c r="J484" s="336"/>
    </row>
    <row r="485" spans="1:10" x14ac:dyDescent="0.25">
      <c r="A485" s="303"/>
      <c r="B485" s="351"/>
      <c r="C485" s="581"/>
      <c r="D485" s="606"/>
      <c r="E485" s="297"/>
      <c r="F485" s="298"/>
      <c r="G485" s="306"/>
      <c r="H485" s="354"/>
      <c r="I485" s="302"/>
      <c r="J485" s="336"/>
    </row>
    <row r="486" spans="1:10" x14ac:dyDescent="0.25">
      <c r="A486" s="303"/>
      <c r="B486" s="351"/>
      <c r="C486" s="581"/>
      <c r="D486" s="605" t="s">
        <v>229</v>
      </c>
      <c r="E486" s="297"/>
      <c r="F486" s="298"/>
      <c r="G486" s="306"/>
      <c r="H486" s="354"/>
      <c r="I486" s="302"/>
      <c r="J486" s="336"/>
    </row>
    <row r="487" spans="1:10" x14ac:dyDescent="0.25">
      <c r="A487" s="303"/>
      <c r="B487" s="351"/>
      <c r="C487" s="581"/>
      <c r="D487" s="605"/>
      <c r="E487" s="297"/>
      <c r="F487" s="298"/>
      <c r="G487" s="306"/>
      <c r="H487" s="354"/>
      <c r="I487" s="302"/>
      <c r="J487" s="336"/>
    </row>
    <row r="488" spans="1:10" x14ac:dyDescent="0.25">
      <c r="A488" s="303"/>
      <c r="B488" s="351"/>
      <c r="C488" s="581"/>
      <c r="D488" s="372" t="s">
        <v>230</v>
      </c>
      <c r="E488" s="297" t="s">
        <v>145</v>
      </c>
      <c r="F488" s="298">
        <v>3.5</v>
      </c>
      <c r="G488" s="353">
        <f>385977*(1+0.15)</f>
        <v>443873.55</v>
      </c>
      <c r="H488" s="309">
        <v>1</v>
      </c>
      <c r="I488" s="353">
        <f>F488*G488*H488</f>
        <v>1553557.425</v>
      </c>
      <c r="J488" s="336"/>
    </row>
    <row r="489" spans="1:10" x14ac:dyDescent="0.25">
      <c r="A489" s="303"/>
      <c r="B489" s="351"/>
      <c r="C489" s="581"/>
      <c r="D489" s="605" t="s">
        <v>231</v>
      </c>
      <c r="E489" s="297"/>
      <c r="F489" s="298"/>
      <c r="G489" s="306"/>
      <c r="H489" s="354"/>
      <c r="I489" s="302"/>
      <c r="J489" s="336"/>
    </row>
    <row r="490" spans="1:10" x14ac:dyDescent="0.25">
      <c r="A490" s="303"/>
      <c r="B490" s="351"/>
      <c r="C490" s="581"/>
      <c r="D490" s="605"/>
      <c r="E490" s="297"/>
      <c r="F490" s="298"/>
      <c r="G490" s="306"/>
      <c r="H490" s="354"/>
      <c r="I490" s="302"/>
      <c r="J490" s="336"/>
    </row>
    <row r="491" spans="1:10" x14ac:dyDescent="0.25">
      <c r="A491" s="303"/>
      <c r="B491" s="351"/>
      <c r="C491" s="581"/>
      <c r="D491" s="605"/>
      <c r="E491" s="297"/>
      <c r="F491" s="298"/>
      <c r="G491" s="306"/>
      <c r="H491" s="354"/>
      <c r="I491" s="302"/>
      <c r="J491" s="336"/>
    </row>
    <row r="492" spans="1:10" x14ac:dyDescent="0.25">
      <c r="A492" s="303"/>
      <c r="B492" s="351"/>
      <c r="C492" s="581"/>
      <c r="D492" s="605"/>
      <c r="E492" s="297"/>
      <c r="F492" s="298"/>
      <c r="G492" s="306"/>
      <c r="H492" s="354"/>
      <c r="I492" s="302"/>
      <c r="J492" s="336"/>
    </row>
    <row r="493" spans="1:10" x14ac:dyDescent="0.25">
      <c r="A493" s="303"/>
      <c r="B493" s="351"/>
      <c r="C493" s="581"/>
      <c r="D493" s="605"/>
      <c r="E493" s="297"/>
      <c r="F493" s="298"/>
      <c r="G493" s="306"/>
      <c r="H493" s="354"/>
      <c r="I493" s="302"/>
      <c r="J493" s="336"/>
    </row>
    <row r="494" spans="1:10" x14ac:dyDescent="0.25">
      <c r="A494" s="303"/>
      <c r="B494" s="351"/>
      <c r="C494" s="581"/>
      <c r="D494" s="372" t="s">
        <v>232</v>
      </c>
      <c r="E494" s="297" t="s">
        <v>72</v>
      </c>
      <c r="F494" s="298">
        <v>13.2</v>
      </c>
      <c r="G494" s="353">
        <v>3084438</v>
      </c>
      <c r="H494" s="309">
        <v>1</v>
      </c>
      <c r="I494" s="353">
        <f>F494*G494*H494</f>
        <v>40714581.600000001</v>
      </c>
      <c r="J494" s="336"/>
    </row>
    <row r="495" spans="1:10" x14ac:dyDescent="0.25">
      <c r="A495" s="303"/>
      <c r="B495" s="351"/>
      <c r="C495" s="581"/>
      <c r="D495" s="605" t="s">
        <v>233</v>
      </c>
      <c r="E495" s="297"/>
      <c r="F495" s="298"/>
      <c r="G495" s="306"/>
      <c r="H495" s="354"/>
      <c r="I495" s="302"/>
      <c r="J495" s="336"/>
    </row>
    <row r="496" spans="1:10" x14ac:dyDescent="0.25">
      <c r="A496" s="303"/>
      <c r="B496" s="351"/>
      <c r="C496" s="581"/>
      <c r="D496" s="605"/>
      <c r="E496" s="297"/>
      <c r="F496" s="298"/>
      <c r="G496" s="306"/>
      <c r="H496" s="354"/>
      <c r="I496" s="302"/>
      <c r="J496" s="336"/>
    </row>
    <row r="497" spans="1:10" x14ac:dyDescent="0.25">
      <c r="A497" s="303"/>
      <c r="B497" s="351"/>
      <c r="C497" s="581"/>
      <c r="D497" s="372" t="s">
        <v>234</v>
      </c>
      <c r="E497" s="297" t="s">
        <v>129</v>
      </c>
      <c r="F497" s="298">
        <v>16.5</v>
      </c>
      <c r="G497" s="353">
        <v>577320</v>
      </c>
      <c r="H497" s="309">
        <v>1</v>
      </c>
      <c r="I497" s="353">
        <f>F497*G497*H497</f>
        <v>9525780</v>
      </c>
      <c r="J497" s="336"/>
    </row>
    <row r="498" spans="1:10" x14ac:dyDescent="0.25">
      <c r="A498" s="303"/>
      <c r="B498" s="351"/>
      <c r="C498" s="581"/>
      <c r="D498" s="605" t="s">
        <v>235</v>
      </c>
      <c r="E498" s="297"/>
      <c r="F498" s="298"/>
      <c r="G498" s="306"/>
      <c r="H498" s="354"/>
      <c r="I498" s="302"/>
      <c r="J498" s="336"/>
    </row>
    <row r="499" spans="1:10" x14ac:dyDescent="0.25">
      <c r="A499" s="303"/>
      <c r="B499" s="351"/>
      <c r="C499" s="581"/>
      <c r="D499" s="605"/>
      <c r="E499" s="297"/>
      <c r="F499" s="298"/>
      <c r="G499" s="306"/>
      <c r="H499" s="354"/>
      <c r="I499" s="302"/>
      <c r="J499" s="336"/>
    </row>
    <row r="500" spans="1:10" x14ac:dyDescent="0.25">
      <c r="A500" s="303"/>
      <c r="B500" s="351"/>
      <c r="C500" s="581"/>
      <c r="D500" s="606" t="s">
        <v>236</v>
      </c>
      <c r="E500" s="297" t="s">
        <v>120</v>
      </c>
      <c r="F500" s="298">
        <f>1.25*3.4</f>
        <v>4.25</v>
      </c>
      <c r="G500" s="353">
        <f>3003570*(1+0.15)</f>
        <v>3454105.4999999995</v>
      </c>
      <c r="H500" s="309">
        <v>0.8</v>
      </c>
      <c r="I500" s="353">
        <f>F500*G500*H500</f>
        <v>11743958.699999999</v>
      </c>
      <c r="J500" s="336"/>
    </row>
    <row r="501" spans="1:10" x14ac:dyDescent="0.25">
      <c r="A501" s="303"/>
      <c r="B501" s="351"/>
      <c r="C501" s="581"/>
      <c r="D501" s="606"/>
      <c r="E501" s="297"/>
      <c r="F501" s="298"/>
      <c r="G501" s="353"/>
      <c r="H501" s="309"/>
      <c r="I501" s="353"/>
      <c r="J501" s="336"/>
    </row>
    <row r="502" spans="1:10" x14ac:dyDescent="0.25">
      <c r="A502" s="303"/>
      <c r="B502" s="351"/>
      <c r="C502" s="581"/>
      <c r="D502" s="605" t="s">
        <v>237</v>
      </c>
      <c r="E502" s="297"/>
      <c r="F502" s="298"/>
      <c r="G502" s="306"/>
      <c r="H502" s="354"/>
      <c r="I502" s="302"/>
      <c r="J502" s="336"/>
    </row>
    <row r="503" spans="1:10" x14ac:dyDescent="0.25">
      <c r="A503" s="303"/>
      <c r="B503" s="351"/>
      <c r="C503" s="581"/>
      <c r="D503" s="605"/>
      <c r="E503" s="297"/>
      <c r="F503" s="298"/>
      <c r="G503" s="306"/>
      <c r="H503" s="354"/>
      <c r="I503" s="302"/>
      <c r="J503" s="336"/>
    </row>
    <row r="504" spans="1:10" x14ac:dyDescent="0.25">
      <c r="A504" s="303"/>
      <c r="B504" s="351"/>
      <c r="C504" s="581"/>
      <c r="D504" s="605"/>
      <c r="E504" s="297"/>
      <c r="F504" s="298"/>
      <c r="G504" s="306"/>
      <c r="H504" s="354"/>
      <c r="I504" s="302"/>
      <c r="J504" s="336"/>
    </row>
    <row r="505" spans="1:10" x14ac:dyDescent="0.25">
      <c r="A505" s="303"/>
      <c r="B505" s="351"/>
      <c r="C505" s="581"/>
      <c r="D505" s="605"/>
      <c r="E505" s="297"/>
      <c r="F505" s="298"/>
      <c r="G505" s="306"/>
      <c r="H505" s="354"/>
      <c r="I505" s="302"/>
      <c r="J505" s="336"/>
    </row>
    <row r="506" spans="1:10" x14ac:dyDescent="0.25">
      <c r="A506" s="303"/>
      <c r="B506" s="351"/>
      <c r="C506" s="581"/>
      <c r="D506" s="605"/>
      <c r="E506" s="297"/>
      <c r="F506" s="298"/>
      <c r="G506" s="306"/>
      <c r="H506" s="354"/>
      <c r="I506" s="302"/>
      <c r="J506" s="336"/>
    </row>
    <row r="507" spans="1:10" x14ac:dyDescent="0.25">
      <c r="A507" s="303"/>
      <c r="B507" s="351"/>
      <c r="C507" s="581"/>
      <c r="D507" s="606" t="s">
        <v>238</v>
      </c>
      <c r="E507" s="297" t="s">
        <v>120</v>
      </c>
      <c r="F507" s="298">
        <v>15.4</v>
      </c>
      <c r="G507" s="353">
        <v>741439</v>
      </c>
      <c r="H507" s="309">
        <v>0.8</v>
      </c>
      <c r="I507" s="353">
        <f>F507*G507*H507</f>
        <v>9134528.4800000004</v>
      </c>
      <c r="J507" s="336"/>
    </row>
    <row r="508" spans="1:10" x14ac:dyDescent="0.25">
      <c r="A508" s="303"/>
      <c r="B508" s="351"/>
      <c r="C508" s="581"/>
      <c r="D508" s="606"/>
      <c r="E508" s="297"/>
      <c r="F508" s="298"/>
      <c r="G508" s="306"/>
      <c r="H508" s="354"/>
      <c r="I508" s="302"/>
      <c r="J508" s="336"/>
    </row>
    <row r="509" spans="1:10" x14ac:dyDescent="0.25">
      <c r="A509" s="303"/>
      <c r="B509" s="351"/>
      <c r="C509" s="581"/>
      <c r="D509" s="605" t="s">
        <v>229</v>
      </c>
      <c r="E509" s="297"/>
      <c r="F509" s="298"/>
      <c r="G509" s="306"/>
      <c r="H509" s="354"/>
      <c r="I509" s="302"/>
      <c r="J509" s="336"/>
    </row>
    <row r="510" spans="1:10" x14ac:dyDescent="0.25">
      <c r="A510" s="303"/>
      <c r="B510" s="351"/>
      <c r="C510" s="581"/>
      <c r="D510" s="605"/>
      <c r="E510" s="297"/>
      <c r="F510" s="298"/>
      <c r="G510" s="306"/>
      <c r="H510" s="354"/>
      <c r="I510" s="302"/>
      <c r="J510" s="336"/>
    </row>
    <row r="511" spans="1:10" x14ac:dyDescent="0.25">
      <c r="A511" s="303"/>
      <c r="B511" s="351"/>
      <c r="C511" s="581"/>
      <c r="D511" s="606" t="s">
        <v>239</v>
      </c>
      <c r="E511" s="297" t="s">
        <v>12</v>
      </c>
      <c r="F511" s="298">
        <v>17</v>
      </c>
      <c r="G511" s="353">
        <v>2309288</v>
      </c>
      <c r="H511" s="309">
        <v>0.8</v>
      </c>
      <c r="I511" s="353">
        <f>F511*G511*H511</f>
        <v>31406316.800000001</v>
      </c>
      <c r="J511" s="336"/>
    </row>
    <row r="512" spans="1:10" x14ac:dyDescent="0.25">
      <c r="A512" s="303"/>
      <c r="B512" s="351"/>
      <c r="C512" s="581"/>
      <c r="D512" s="606"/>
      <c r="E512" s="297"/>
      <c r="F512" s="298"/>
      <c r="G512" s="353"/>
      <c r="H512" s="309"/>
      <c r="I512" s="353"/>
      <c r="J512" s="336"/>
    </row>
    <row r="513" spans="1:10" x14ac:dyDescent="0.25">
      <c r="A513" s="303"/>
      <c r="B513" s="351"/>
      <c r="C513" s="581"/>
      <c r="D513" s="605" t="s">
        <v>240</v>
      </c>
      <c r="E513" s="297"/>
      <c r="F513" s="362"/>
      <c r="G513" s="363"/>
      <c r="H513" s="364"/>
      <c r="I513" s="365"/>
      <c r="J513" s="336"/>
    </row>
    <row r="514" spans="1:10" x14ac:dyDescent="0.25">
      <c r="A514" s="303"/>
      <c r="B514" s="351"/>
      <c r="C514" s="581"/>
      <c r="D514" s="605"/>
      <c r="E514" s="297"/>
      <c r="F514" s="362"/>
      <c r="G514" s="363"/>
      <c r="H514" s="364"/>
      <c r="I514" s="365"/>
      <c r="J514" s="336"/>
    </row>
    <row r="515" spans="1:10" x14ac:dyDescent="0.25">
      <c r="A515" s="303"/>
      <c r="B515" s="351"/>
      <c r="C515" s="581"/>
      <c r="D515" s="605"/>
      <c r="E515" s="297"/>
      <c r="F515" s="362"/>
      <c r="G515" s="363"/>
      <c r="H515" s="364"/>
      <c r="I515" s="365"/>
      <c r="J515" s="336"/>
    </row>
    <row r="516" spans="1:10" x14ac:dyDescent="0.25">
      <c r="A516" s="303"/>
      <c r="B516" s="351"/>
      <c r="C516" s="581"/>
      <c r="D516" s="605"/>
      <c r="E516" s="297"/>
      <c r="F516" s="362"/>
      <c r="G516" s="363"/>
      <c r="H516" s="364"/>
      <c r="I516" s="365"/>
      <c r="J516" s="336"/>
    </row>
    <row r="517" spans="1:10" x14ac:dyDescent="0.25">
      <c r="A517" s="303"/>
      <c r="B517" s="351"/>
      <c r="C517" s="581"/>
      <c r="D517" s="605"/>
      <c r="E517" s="297"/>
      <c r="F517" s="362"/>
      <c r="G517" s="363"/>
      <c r="H517" s="364"/>
      <c r="I517" s="365"/>
      <c r="J517" s="336"/>
    </row>
    <row r="518" spans="1:10" x14ac:dyDescent="0.25">
      <c r="A518" s="303"/>
      <c r="B518" s="351"/>
      <c r="C518" s="581"/>
      <c r="D518" s="605"/>
      <c r="E518" s="297"/>
      <c r="F518" s="362"/>
      <c r="G518" s="363"/>
      <c r="H518" s="364"/>
      <c r="I518" s="365"/>
      <c r="J518" s="336"/>
    </row>
    <row r="519" spans="1:10" x14ac:dyDescent="0.25">
      <c r="A519" s="303"/>
      <c r="B519" s="351"/>
      <c r="C519" s="581"/>
      <c r="D519" s="215" t="s">
        <v>241</v>
      </c>
      <c r="E519" s="297"/>
      <c r="F519" s="362"/>
      <c r="G519" s="363"/>
      <c r="H519" s="364"/>
      <c r="I519" s="365"/>
      <c r="J519" s="336"/>
    </row>
    <row r="520" spans="1:10" x14ac:dyDescent="0.25">
      <c r="A520" s="303"/>
      <c r="B520" s="351"/>
      <c r="C520" s="581"/>
      <c r="D520" s="210" t="s">
        <v>74</v>
      </c>
      <c r="E520" s="297"/>
      <c r="F520" s="362"/>
      <c r="G520" s="363"/>
      <c r="H520" s="364"/>
      <c r="I520" s="365"/>
      <c r="J520" s="336"/>
    </row>
    <row r="521" spans="1:10" x14ac:dyDescent="0.25">
      <c r="A521" s="303"/>
      <c r="B521" s="351"/>
      <c r="C521" s="581"/>
      <c r="D521" s="374" t="s">
        <v>242</v>
      </c>
      <c r="E521" s="297"/>
      <c r="F521" s="362"/>
      <c r="G521" s="363"/>
      <c r="H521" s="364"/>
      <c r="I521" s="365">
        <f>SUM(I530:I627)</f>
        <v>145467000</v>
      </c>
      <c r="J521" s="375"/>
    </row>
    <row r="522" spans="1:10" x14ac:dyDescent="0.25">
      <c r="A522" s="303"/>
      <c r="B522" s="351"/>
      <c r="C522" s="581"/>
      <c r="D522" s="207" t="s">
        <v>88</v>
      </c>
      <c r="E522" s="297"/>
      <c r="F522" s="362"/>
      <c r="G522" s="363"/>
      <c r="H522" s="364"/>
      <c r="I522" s="365"/>
      <c r="J522" s="336"/>
    </row>
    <row r="523" spans="1:10" x14ac:dyDescent="0.25">
      <c r="A523" s="303"/>
      <c r="B523" s="351"/>
      <c r="C523" s="581"/>
      <c r="D523" s="669" t="s">
        <v>243</v>
      </c>
      <c r="E523" s="297"/>
      <c r="F523" s="362"/>
      <c r="G523" s="363"/>
      <c r="H523" s="364"/>
      <c r="I523" s="365"/>
      <c r="J523" s="336"/>
    </row>
    <row r="524" spans="1:10" x14ac:dyDescent="0.25">
      <c r="A524" s="303"/>
      <c r="B524" s="351"/>
      <c r="C524" s="581"/>
      <c r="D524" s="669"/>
      <c r="E524" s="297"/>
      <c r="F524" s="362"/>
      <c r="G524" s="363"/>
      <c r="H524" s="364"/>
      <c r="I524" s="365"/>
      <c r="J524" s="336"/>
    </row>
    <row r="525" spans="1:10" ht="24.75" customHeight="1" x14ac:dyDescent="0.25">
      <c r="A525" s="303"/>
      <c r="B525" s="351"/>
      <c r="C525" s="581"/>
      <c r="D525" s="669"/>
      <c r="E525" s="297"/>
      <c r="F525" s="362"/>
      <c r="G525" s="363"/>
      <c r="H525" s="364"/>
      <c r="I525" s="365"/>
      <c r="J525" s="336"/>
    </row>
    <row r="526" spans="1:10" ht="39.75" customHeight="1" x14ac:dyDescent="0.25">
      <c r="A526" s="303"/>
      <c r="B526" s="351"/>
      <c r="C526" s="581"/>
      <c r="D526" s="669"/>
      <c r="E526" s="297"/>
      <c r="F526" s="362"/>
      <c r="G526" s="363"/>
      <c r="H526" s="364"/>
      <c r="I526" s="365"/>
      <c r="J526" s="336"/>
    </row>
    <row r="527" spans="1:10" ht="23.25" customHeight="1" x14ac:dyDescent="0.25">
      <c r="A527" s="303"/>
      <c r="B527" s="351"/>
      <c r="C527" s="581"/>
      <c r="D527" s="669"/>
      <c r="E527" s="297"/>
      <c r="F527" s="362"/>
      <c r="G527" s="363"/>
      <c r="H527" s="364"/>
      <c r="I527" s="365"/>
      <c r="J527" s="336"/>
    </row>
    <row r="528" spans="1:10" x14ac:dyDescent="0.25">
      <c r="A528" s="303"/>
      <c r="B528" s="351"/>
      <c r="C528" s="581"/>
      <c r="D528" s="669"/>
      <c r="E528" s="297"/>
      <c r="F528" s="362"/>
      <c r="G528" s="363"/>
      <c r="H528" s="364"/>
      <c r="I528" s="365"/>
      <c r="J528" s="336"/>
    </row>
    <row r="529" spans="1:10" x14ac:dyDescent="0.25">
      <c r="A529" s="303"/>
      <c r="B529" s="351"/>
      <c r="C529" s="581"/>
      <c r="D529" s="376" t="s">
        <v>244</v>
      </c>
      <c r="E529" s="297"/>
      <c r="F529" s="362"/>
      <c r="G529" s="363"/>
      <c r="H529" s="364"/>
      <c r="I529" s="365"/>
      <c r="J529" s="336"/>
    </row>
    <row r="530" spans="1:10" x14ac:dyDescent="0.25">
      <c r="A530" s="303"/>
      <c r="B530" s="351"/>
      <c r="C530" s="581"/>
      <c r="D530" s="377" t="s">
        <v>245</v>
      </c>
      <c r="E530" s="297" t="s">
        <v>61</v>
      </c>
      <c r="F530" s="378">
        <v>4</v>
      </c>
      <c r="G530" s="363">
        <v>53000</v>
      </c>
      <c r="H530" s="364">
        <v>1</v>
      </c>
      <c r="I530" s="363">
        <f>+F530*G530*H530</f>
        <v>212000</v>
      </c>
      <c r="J530" s="336"/>
    </row>
    <row r="531" spans="1:10" x14ac:dyDescent="0.25">
      <c r="A531" s="303"/>
      <c r="B531" s="351"/>
      <c r="C531" s="581"/>
      <c r="D531" s="379" t="s">
        <v>246</v>
      </c>
      <c r="E531" s="297"/>
      <c r="F531" s="378"/>
      <c r="G531" s="363"/>
      <c r="H531" s="364"/>
      <c r="I531" s="365"/>
      <c r="J531" s="336"/>
    </row>
    <row r="532" spans="1:10" x14ac:dyDescent="0.25">
      <c r="A532" s="303"/>
      <c r="B532" s="351"/>
      <c r="C532" s="581"/>
      <c r="D532" s="376" t="s">
        <v>247</v>
      </c>
      <c r="E532" s="297" t="s">
        <v>61</v>
      </c>
      <c r="F532" s="378">
        <v>1</v>
      </c>
      <c r="G532" s="363">
        <v>426000</v>
      </c>
      <c r="H532" s="364">
        <v>1</v>
      </c>
      <c r="I532" s="363">
        <f>+F532*G532*H532</f>
        <v>426000</v>
      </c>
      <c r="J532" s="336"/>
    </row>
    <row r="533" spans="1:10" x14ac:dyDescent="0.25">
      <c r="A533" s="303"/>
      <c r="B533" s="351"/>
      <c r="C533" s="581"/>
      <c r="D533" s="376" t="s">
        <v>248</v>
      </c>
      <c r="E533" s="297" t="s">
        <v>61</v>
      </c>
      <c r="F533" s="378">
        <v>2</v>
      </c>
      <c r="G533" s="363">
        <v>169000</v>
      </c>
      <c r="H533" s="364">
        <v>1</v>
      </c>
      <c r="I533" s="363">
        <f>+F533*G533*H533</f>
        <v>338000</v>
      </c>
      <c r="J533" s="336"/>
    </row>
    <row r="534" spans="1:10" x14ac:dyDescent="0.25">
      <c r="A534" s="303"/>
      <c r="B534" s="351"/>
      <c r="C534" s="581"/>
      <c r="D534" s="379" t="s">
        <v>249</v>
      </c>
      <c r="E534" s="297"/>
      <c r="F534" s="362"/>
      <c r="G534" s="363"/>
      <c r="H534" s="364"/>
      <c r="I534" s="363"/>
      <c r="J534" s="336"/>
    </row>
    <row r="535" spans="1:10" x14ac:dyDescent="0.25">
      <c r="A535" s="303"/>
      <c r="B535" s="351"/>
      <c r="C535" s="581"/>
      <c r="D535" s="380" t="s">
        <v>183</v>
      </c>
      <c r="E535" s="297"/>
      <c r="F535" s="298"/>
      <c r="G535" s="381"/>
      <c r="H535" s="382"/>
      <c r="I535" s="381"/>
      <c r="J535" s="336"/>
    </row>
    <row r="536" spans="1:10" x14ac:dyDescent="0.25">
      <c r="A536" s="303"/>
      <c r="B536" s="351"/>
      <c r="C536" s="581"/>
      <c r="D536" s="383" t="s">
        <v>250</v>
      </c>
      <c r="E536" s="297" t="s">
        <v>61</v>
      </c>
      <c r="F536" s="299">
        <v>2</v>
      </c>
      <c r="G536" s="353">
        <v>1844000</v>
      </c>
      <c r="H536" s="342">
        <v>1</v>
      </c>
      <c r="I536" s="353">
        <f>+H536*G536*F536</f>
        <v>3688000</v>
      </c>
      <c r="J536" s="336"/>
    </row>
    <row r="537" spans="1:10" x14ac:dyDescent="0.25">
      <c r="A537" s="303"/>
      <c r="B537" s="351"/>
      <c r="C537" s="581"/>
      <c r="D537" s="383" t="s">
        <v>251</v>
      </c>
      <c r="E537" s="297" t="s">
        <v>61</v>
      </c>
      <c r="F537" s="299">
        <v>6</v>
      </c>
      <c r="G537" s="353">
        <v>426000</v>
      </c>
      <c r="H537" s="342">
        <v>1</v>
      </c>
      <c r="I537" s="353">
        <f>+H537*G537*F537</f>
        <v>2556000</v>
      </c>
      <c r="J537" s="336"/>
    </row>
    <row r="538" spans="1:10" x14ac:dyDescent="0.25">
      <c r="A538" s="303"/>
      <c r="B538" s="351"/>
      <c r="C538" s="581"/>
      <c r="D538" s="383" t="s">
        <v>252</v>
      </c>
      <c r="E538" s="297" t="s">
        <v>61</v>
      </c>
      <c r="F538" s="299">
        <v>2</v>
      </c>
      <c r="G538" s="353">
        <v>333000</v>
      </c>
      <c r="H538" s="342">
        <v>1</v>
      </c>
      <c r="I538" s="353">
        <f>+H538*G538*F538</f>
        <v>666000</v>
      </c>
      <c r="J538" s="336"/>
    </row>
    <row r="539" spans="1:10" x14ac:dyDescent="0.25">
      <c r="A539" s="303"/>
      <c r="B539" s="351"/>
      <c r="C539" s="581"/>
      <c r="D539" s="383" t="s">
        <v>253</v>
      </c>
      <c r="E539" s="297" t="s">
        <v>61</v>
      </c>
      <c r="F539" s="299">
        <v>2</v>
      </c>
      <c r="G539" s="353">
        <v>197000</v>
      </c>
      <c r="H539" s="342">
        <v>1</v>
      </c>
      <c r="I539" s="353">
        <f>+H539*G539*F539</f>
        <v>394000</v>
      </c>
      <c r="J539" s="336"/>
    </row>
    <row r="540" spans="1:10" x14ac:dyDescent="0.25">
      <c r="A540" s="303"/>
      <c r="B540" s="351"/>
      <c r="C540" s="581"/>
      <c r="D540" s="383" t="s">
        <v>254</v>
      </c>
      <c r="E540" s="297" t="s">
        <v>61</v>
      </c>
      <c r="F540" s="299">
        <v>1</v>
      </c>
      <c r="G540" s="353">
        <v>228000</v>
      </c>
      <c r="H540" s="342">
        <v>1</v>
      </c>
      <c r="I540" s="353">
        <f>+H540*G540*F540</f>
        <v>228000</v>
      </c>
      <c r="J540" s="336"/>
    </row>
    <row r="541" spans="1:10" x14ac:dyDescent="0.25">
      <c r="A541" s="303"/>
      <c r="B541" s="351"/>
      <c r="C541" s="581"/>
      <c r="D541" s="379" t="s">
        <v>255</v>
      </c>
      <c r="E541" s="297"/>
      <c r="F541" s="299"/>
      <c r="G541" s="353"/>
      <c r="H541" s="342"/>
      <c r="I541" s="353"/>
      <c r="J541" s="336"/>
    </row>
    <row r="542" spans="1:10" x14ac:dyDescent="0.25">
      <c r="A542" s="303"/>
      <c r="B542" s="351"/>
      <c r="C542" s="581"/>
      <c r="D542" s="380" t="s">
        <v>256</v>
      </c>
      <c r="E542" s="297"/>
      <c r="F542" s="299"/>
      <c r="G542" s="353"/>
      <c r="H542" s="342"/>
      <c r="I542" s="353"/>
      <c r="J542" s="336"/>
    </row>
    <row r="543" spans="1:10" x14ac:dyDescent="0.25">
      <c r="A543" s="303"/>
      <c r="B543" s="351"/>
      <c r="C543" s="581"/>
      <c r="D543" s="383" t="s">
        <v>250</v>
      </c>
      <c r="E543" s="297" t="s">
        <v>61</v>
      </c>
      <c r="F543" s="299">
        <v>2</v>
      </c>
      <c r="G543" s="353">
        <v>1844000</v>
      </c>
      <c r="H543" s="342">
        <v>1</v>
      </c>
      <c r="I543" s="353">
        <f t="shared" ref="I543:I553" si="0">+H543*G543*F543</f>
        <v>3688000</v>
      </c>
      <c r="J543" s="336"/>
    </row>
    <row r="544" spans="1:10" x14ac:dyDescent="0.25">
      <c r="A544" s="303"/>
      <c r="B544" s="351"/>
      <c r="C544" s="581"/>
      <c r="D544" s="383" t="s">
        <v>257</v>
      </c>
      <c r="E544" s="297" t="s">
        <v>61</v>
      </c>
      <c r="F544" s="299">
        <v>5</v>
      </c>
      <c r="G544" s="353">
        <v>1514000</v>
      </c>
      <c r="H544" s="342">
        <v>1</v>
      </c>
      <c r="I544" s="353">
        <f t="shared" si="0"/>
        <v>7570000</v>
      </c>
      <c r="J544" s="336"/>
    </row>
    <row r="545" spans="1:10" x14ac:dyDescent="0.25">
      <c r="A545" s="303"/>
      <c r="B545" s="351"/>
      <c r="C545" s="581"/>
      <c r="D545" s="383" t="s">
        <v>258</v>
      </c>
      <c r="E545" s="297" t="s">
        <v>61</v>
      </c>
      <c r="F545" s="299">
        <v>3</v>
      </c>
      <c r="G545" s="353">
        <v>138000</v>
      </c>
      <c r="H545" s="342">
        <v>1</v>
      </c>
      <c r="I545" s="353">
        <f t="shared" si="0"/>
        <v>414000</v>
      </c>
      <c r="J545" s="336"/>
    </row>
    <row r="546" spans="1:10" x14ac:dyDescent="0.25">
      <c r="A546" s="303"/>
      <c r="B546" s="351"/>
      <c r="C546" s="581"/>
      <c r="D546" s="383" t="s">
        <v>259</v>
      </c>
      <c r="E546" s="297" t="s">
        <v>61</v>
      </c>
      <c r="F546" s="299">
        <v>1</v>
      </c>
      <c r="G546" s="353">
        <v>235000</v>
      </c>
      <c r="H546" s="342">
        <v>1</v>
      </c>
      <c r="I546" s="353">
        <f t="shared" si="0"/>
        <v>235000</v>
      </c>
      <c r="J546" s="336"/>
    </row>
    <row r="547" spans="1:10" x14ac:dyDescent="0.25">
      <c r="A547" s="303"/>
      <c r="B547" s="351"/>
      <c r="C547" s="581"/>
      <c r="D547" s="379" t="s">
        <v>260</v>
      </c>
      <c r="E547" s="297"/>
      <c r="F547" s="299"/>
      <c r="G547" s="353"/>
      <c r="H547" s="342"/>
      <c r="I547" s="353"/>
      <c r="J547" s="336"/>
    </row>
    <row r="548" spans="1:10" x14ac:dyDescent="0.25">
      <c r="A548" s="303"/>
      <c r="B548" s="351"/>
      <c r="C548" s="581"/>
      <c r="D548" s="383" t="s">
        <v>261</v>
      </c>
      <c r="E548" s="297" t="s">
        <v>61</v>
      </c>
      <c r="F548" s="299">
        <v>11</v>
      </c>
      <c r="G548" s="353">
        <v>53000</v>
      </c>
      <c r="H548" s="342">
        <v>1</v>
      </c>
      <c r="I548" s="353">
        <f t="shared" si="0"/>
        <v>583000</v>
      </c>
      <c r="J548" s="336"/>
    </row>
    <row r="549" spans="1:10" x14ac:dyDescent="0.25">
      <c r="A549" s="303"/>
      <c r="B549" s="351"/>
      <c r="C549" s="581"/>
      <c r="D549" s="379" t="s">
        <v>262</v>
      </c>
      <c r="E549" s="297"/>
      <c r="F549" s="299"/>
      <c r="G549" s="353"/>
      <c r="H549" s="342"/>
      <c r="I549" s="353"/>
      <c r="J549" s="336"/>
    </row>
    <row r="550" spans="1:10" x14ac:dyDescent="0.25">
      <c r="A550" s="303"/>
      <c r="B550" s="351"/>
      <c r="C550" s="581"/>
      <c r="D550" s="383" t="s">
        <v>263</v>
      </c>
      <c r="E550" s="297" t="s">
        <v>61</v>
      </c>
      <c r="F550" s="299">
        <v>9</v>
      </c>
      <c r="G550" s="353">
        <v>53000</v>
      </c>
      <c r="H550" s="342">
        <v>1</v>
      </c>
      <c r="I550" s="353">
        <f t="shared" si="0"/>
        <v>477000</v>
      </c>
      <c r="J550" s="336"/>
    </row>
    <row r="551" spans="1:10" x14ac:dyDescent="0.25">
      <c r="A551" s="303"/>
      <c r="B551" s="351"/>
      <c r="C551" s="581"/>
      <c r="D551" s="379" t="s">
        <v>262</v>
      </c>
      <c r="E551" s="297"/>
      <c r="F551" s="299"/>
      <c r="G551" s="353"/>
      <c r="H551" s="342"/>
      <c r="I551" s="353"/>
      <c r="J551" s="336"/>
    </row>
    <row r="552" spans="1:10" x14ac:dyDescent="0.25">
      <c r="A552" s="303"/>
      <c r="B552" s="351"/>
      <c r="C552" s="581"/>
      <c r="D552" s="383" t="s">
        <v>251</v>
      </c>
      <c r="E552" s="297" t="s">
        <v>61</v>
      </c>
      <c r="F552" s="299">
        <v>2</v>
      </c>
      <c r="G552" s="353">
        <v>426000</v>
      </c>
      <c r="H552" s="342">
        <v>1</v>
      </c>
      <c r="I552" s="353">
        <f t="shared" si="0"/>
        <v>852000</v>
      </c>
      <c r="J552" s="336"/>
    </row>
    <row r="553" spans="1:10" x14ac:dyDescent="0.25">
      <c r="A553" s="303"/>
      <c r="B553" s="351"/>
      <c r="C553" s="581"/>
      <c r="D553" s="383" t="s">
        <v>147</v>
      </c>
      <c r="E553" s="297" t="s">
        <v>61</v>
      </c>
      <c r="F553" s="299">
        <v>1</v>
      </c>
      <c r="G553" s="353">
        <v>154000</v>
      </c>
      <c r="H553" s="342">
        <v>1</v>
      </c>
      <c r="I553" s="353">
        <f t="shared" si="0"/>
        <v>154000</v>
      </c>
      <c r="J553" s="336"/>
    </row>
    <row r="554" spans="1:10" x14ac:dyDescent="0.25">
      <c r="A554" s="303"/>
      <c r="B554" s="351"/>
      <c r="C554" s="581"/>
      <c r="D554" s="379" t="s">
        <v>264</v>
      </c>
      <c r="E554" s="297"/>
      <c r="F554" s="299"/>
      <c r="G554" s="353"/>
      <c r="H554" s="342"/>
      <c r="I554" s="353"/>
      <c r="J554" s="336"/>
    </row>
    <row r="555" spans="1:10" x14ac:dyDescent="0.25">
      <c r="A555" s="303"/>
      <c r="B555" s="351"/>
      <c r="C555" s="581"/>
      <c r="D555" s="281" t="s">
        <v>195</v>
      </c>
      <c r="E555" s="297"/>
      <c r="F555" s="362"/>
      <c r="G555" s="363"/>
      <c r="H555" s="364"/>
      <c r="I555" s="365"/>
      <c r="J555" s="336"/>
    </row>
    <row r="556" spans="1:10" x14ac:dyDescent="0.25">
      <c r="A556" s="303"/>
      <c r="B556" s="351"/>
      <c r="C556" s="581"/>
      <c r="D556" s="361" t="s">
        <v>265</v>
      </c>
      <c r="E556" s="297" t="s">
        <v>61</v>
      </c>
      <c r="F556" s="378">
        <v>1</v>
      </c>
      <c r="G556" s="363">
        <v>190000</v>
      </c>
      <c r="H556" s="364">
        <v>1</v>
      </c>
      <c r="I556" s="363">
        <f>+H556*G556*F556</f>
        <v>190000</v>
      </c>
      <c r="J556" s="336"/>
    </row>
    <row r="557" spans="1:10" x14ac:dyDescent="0.25">
      <c r="A557" s="303"/>
      <c r="B557" s="351"/>
      <c r="C557" s="581"/>
      <c r="D557" s="384" t="s">
        <v>266</v>
      </c>
      <c r="E557" s="297"/>
      <c r="F557" s="378"/>
      <c r="G557" s="363"/>
      <c r="H557" s="364"/>
      <c r="I557" s="363"/>
      <c r="J557" s="336"/>
    </row>
    <row r="558" spans="1:10" x14ac:dyDescent="0.25">
      <c r="A558" s="303"/>
      <c r="B558" s="351"/>
      <c r="C558" s="581"/>
      <c r="D558" s="361" t="s">
        <v>257</v>
      </c>
      <c r="E558" s="297" t="s">
        <v>61</v>
      </c>
      <c r="F558" s="378">
        <v>1</v>
      </c>
      <c r="G558" s="363">
        <v>1514000</v>
      </c>
      <c r="H558" s="364">
        <v>1</v>
      </c>
      <c r="I558" s="363">
        <f>+H558*G558*F558</f>
        <v>1514000</v>
      </c>
      <c r="J558" s="336"/>
    </row>
    <row r="559" spans="1:10" x14ac:dyDescent="0.25">
      <c r="A559" s="303"/>
      <c r="B559" s="351"/>
      <c r="C559" s="581"/>
      <c r="D559" s="361" t="s">
        <v>267</v>
      </c>
      <c r="E559" s="297" t="s">
        <v>61</v>
      </c>
      <c r="F559" s="378">
        <v>1</v>
      </c>
      <c r="G559" s="363">
        <v>96000</v>
      </c>
      <c r="H559" s="364">
        <v>1</v>
      </c>
      <c r="I559" s="363">
        <f>+H559*G559*F559</f>
        <v>96000</v>
      </c>
      <c r="J559" s="336"/>
    </row>
    <row r="560" spans="1:10" x14ac:dyDescent="0.25">
      <c r="A560" s="303"/>
      <c r="B560" s="351"/>
      <c r="C560" s="581"/>
      <c r="D560" s="384" t="s">
        <v>268</v>
      </c>
      <c r="E560" s="297"/>
      <c r="F560" s="378"/>
      <c r="G560" s="363"/>
      <c r="H560" s="364"/>
      <c r="I560" s="363"/>
      <c r="J560" s="336"/>
    </row>
    <row r="561" spans="1:10" x14ac:dyDescent="0.25">
      <c r="A561" s="303"/>
      <c r="B561" s="351"/>
      <c r="C561" s="581"/>
      <c r="D561" s="361" t="s">
        <v>261</v>
      </c>
      <c r="E561" s="297" t="s">
        <v>61</v>
      </c>
      <c r="F561" s="378">
        <v>12</v>
      </c>
      <c r="G561" s="363">
        <v>53000</v>
      </c>
      <c r="H561" s="364">
        <v>1</v>
      </c>
      <c r="I561" s="363">
        <f>+H561*G561*F561</f>
        <v>636000</v>
      </c>
      <c r="J561" s="336"/>
    </row>
    <row r="562" spans="1:10" x14ac:dyDescent="0.25">
      <c r="A562" s="303"/>
      <c r="B562" s="351"/>
      <c r="C562" s="581"/>
      <c r="D562" s="384" t="s">
        <v>269</v>
      </c>
      <c r="E562" s="297"/>
      <c r="F562" s="378"/>
      <c r="G562" s="363"/>
      <c r="H562" s="364"/>
      <c r="I562" s="363"/>
      <c r="J562" s="336"/>
    </row>
    <row r="563" spans="1:10" x14ac:dyDescent="0.25">
      <c r="A563" s="303"/>
      <c r="B563" s="351"/>
      <c r="C563" s="581"/>
      <c r="D563" s="361" t="s">
        <v>270</v>
      </c>
      <c r="E563" s="297" t="s">
        <v>61</v>
      </c>
      <c r="F563" s="378">
        <v>6</v>
      </c>
      <c r="G563" s="363">
        <v>128000</v>
      </c>
      <c r="H563" s="364">
        <v>1</v>
      </c>
      <c r="I563" s="363">
        <f>+H563*G563*F563</f>
        <v>768000</v>
      </c>
      <c r="J563" s="336"/>
    </row>
    <row r="564" spans="1:10" x14ac:dyDescent="0.25">
      <c r="A564" s="303"/>
      <c r="B564" s="351"/>
      <c r="C564" s="581"/>
      <c r="D564" s="384" t="s">
        <v>271</v>
      </c>
      <c r="E564" s="297"/>
      <c r="F564" s="362"/>
      <c r="G564" s="363"/>
      <c r="H564" s="364"/>
      <c r="I564" s="365"/>
      <c r="J564" s="336"/>
    </row>
    <row r="565" spans="1:10" x14ac:dyDescent="0.25">
      <c r="A565" s="303"/>
      <c r="B565" s="351"/>
      <c r="C565" s="581"/>
      <c r="D565" s="281" t="s">
        <v>272</v>
      </c>
      <c r="E565" s="297"/>
      <c r="F565" s="362"/>
      <c r="G565" s="363"/>
      <c r="H565" s="364"/>
      <c r="I565" s="365"/>
      <c r="J565" s="336"/>
    </row>
    <row r="566" spans="1:10" x14ac:dyDescent="0.25">
      <c r="A566" s="303"/>
      <c r="B566" s="351"/>
      <c r="C566" s="581"/>
      <c r="D566" s="361" t="s">
        <v>273</v>
      </c>
      <c r="E566" s="297" t="s">
        <v>61</v>
      </c>
      <c r="F566" s="385">
        <v>3</v>
      </c>
      <c r="G566" s="363">
        <v>2400000</v>
      </c>
      <c r="H566" s="364">
        <v>1</v>
      </c>
      <c r="I566" s="363">
        <f>+H566*G566*F566</f>
        <v>7200000</v>
      </c>
      <c r="J566" s="336"/>
    </row>
    <row r="567" spans="1:10" x14ac:dyDescent="0.25">
      <c r="A567" s="303"/>
      <c r="B567" s="351"/>
      <c r="C567" s="581"/>
      <c r="D567" s="361" t="s">
        <v>274</v>
      </c>
      <c r="E567" s="297" t="s">
        <v>61</v>
      </c>
      <c r="F567" s="385">
        <v>23</v>
      </c>
      <c r="G567" s="363">
        <v>280000</v>
      </c>
      <c r="H567" s="364">
        <v>1</v>
      </c>
      <c r="I567" s="363">
        <f t="shared" ref="I567:I578" si="1">+H567*G567*F567</f>
        <v>6440000</v>
      </c>
      <c r="J567" s="336"/>
    </row>
    <row r="568" spans="1:10" x14ac:dyDescent="0.25">
      <c r="A568" s="303"/>
      <c r="B568" s="351"/>
      <c r="C568" s="581"/>
      <c r="D568" s="361" t="s">
        <v>275</v>
      </c>
      <c r="E568" s="297" t="s">
        <v>61</v>
      </c>
      <c r="F568" s="385">
        <v>1</v>
      </c>
      <c r="G568" s="363">
        <v>53000</v>
      </c>
      <c r="H568" s="364">
        <v>1</v>
      </c>
      <c r="I568" s="363">
        <f t="shared" si="1"/>
        <v>53000</v>
      </c>
      <c r="J568" s="336"/>
    </row>
    <row r="569" spans="1:10" x14ac:dyDescent="0.25">
      <c r="A569" s="303"/>
      <c r="B569" s="351"/>
      <c r="C569" s="581"/>
      <c r="D569" s="379" t="s">
        <v>276</v>
      </c>
      <c r="E569" s="297"/>
      <c r="F569" s="385"/>
      <c r="G569" s="363"/>
      <c r="H569" s="364"/>
      <c r="I569" s="363"/>
      <c r="J569" s="336"/>
    </row>
    <row r="570" spans="1:10" x14ac:dyDescent="0.25">
      <c r="A570" s="303"/>
      <c r="B570" s="351"/>
      <c r="C570" s="581"/>
      <c r="D570" s="361" t="s">
        <v>277</v>
      </c>
      <c r="E570" s="297" t="s">
        <v>61</v>
      </c>
      <c r="F570" s="385">
        <v>1</v>
      </c>
      <c r="G570" s="363">
        <v>53000</v>
      </c>
      <c r="H570" s="364">
        <v>1</v>
      </c>
      <c r="I570" s="363">
        <f t="shared" si="1"/>
        <v>53000</v>
      </c>
      <c r="J570" s="336"/>
    </row>
    <row r="571" spans="1:10" x14ac:dyDescent="0.25">
      <c r="A571" s="303"/>
      <c r="B571" s="351"/>
      <c r="C571" s="581"/>
      <c r="D571" s="379" t="s">
        <v>276</v>
      </c>
      <c r="E571" s="297"/>
      <c r="F571" s="385"/>
      <c r="G571" s="363"/>
      <c r="H571" s="364"/>
      <c r="I571" s="363"/>
      <c r="J571" s="336"/>
    </row>
    <row r="572" spans="1:10" x14ac:dyDescent="0.25">
      <c r="A572" s="303"/>
      <c r="B572" s="351"/>
      <c r="C572" s="581"/>
      <c r="D572" s="361" t="s">
        <v>147</v>
      </c>
      <c r="E572" s="297" t="s">
        <v>61</v>
      </c>
      <c r="F572" s="385">
        <v>4</v>
      </c>
      <c r="G572" s="363">
        <v>154000</v>
      </c>
      <c r="H572" s="364">
        <v>1</v>
      </c>
      <c r="I572" s="363">
        <f t="shared" si="1"/>
        <v>616000</v>
      </c>
      <c r="J572" s="336"/>
    </row>
    <row r="573" spans="1:10" x14ac:dyDescent="0.25">
      <c r="A573" s="303"/>
      <c r="B573" s="351"/>
      <c r="C573" s="581"/>
      <c r="D573" s="384" t="s">
        <v>278</v>
      </c>
      <c r="E573" s="297"/>
      <c r="F573" s="385"/>
      <c r="G573" s="363"/>
      <c r="H573" s="364"/>
      <c r="I573" s="363"/>
      <c r="J573" s="336"/>
    </row>
    <row r="574" spans="1:10" x14ac:dyDescent="0.25">
      <c r="A574" s="303"/>
      <c r="B574" s="351"/>
      <c r="C574" s="581"/>
      <c r="D574" s="361" t="s">
        <v>279</v>
      </c>
      <c r="E574" s="297" t="s">
        <v>61</v>
      </c>
      <c r="F574" s="385">
        <v>3</v>
      </c>
      <c r="G574" s="363">
        <v>412000</v>
      </c>
      <c r="H574" s="364">
        <v>1</v>
      </c>
      <c r="I574" s="363">
        <f t="shared" si="1"/>
        <v>1236000</v>
      </c>
      <c r="J574" s="336"/>
    </row>
    <row r="575" spans="1:10" x14ac:dyDescent="0.25">
      <c r="A575" s="303"/>
      <c r="B575" s="351"/>
      <c r="C575" s="581"/>
      <c r="D575" s="361" t="s">
        <v>280</v>
      </c>
      <c r="E575" s="297" t="s">
        <v>61</v>
      </c>
      <c r="F575" s="385">
        <v>2</v>
      </c>
      <c r="G575" s="363">
        <v>218000</v>
      </c>
      <c r="H575" s="364">
        <v>1</v>
      </c>
      <c r="I575" s="363">
        <f t="shared" si="1"/>
        <v>436000</v>
      </c>
      <c r="J575" s="336"/>
    </row>
    <row r="576" spans="1:10" x14ac:dyDescent="0.25">
      <c r="A576" s="303"/>
      <c r="B576" s="351"/>
      <c r="C576" s="581"/>
      <c r="D576" s="361" t="s">
        <v>281</v>
      </c>
      <c r="E576" s="297" t="s">
        <v>61</v>
      </c>
      <c r="F576" s="385">
        <v>1</v>
      </c>
      <c r="G576" s="363">
        <v>133000</v>
      </c>
      <c r="H576" s="364">
        <v>1</v>
      </c>
      <c r="I576" s="363">
        <f t="shared" si="1"/>
        <v>133000</v>
      </c>
      <c r="J576" s="336"/>
    </row>
    <row r="577" spans="1:10" x14ac:dyDescent="0.25">
      <c r="A577" s="303"/>
      <c r="B577" s="351"/>
      <c r="C577" s="581"/>
      <c r="D577" s="384" t="s">
        <v>282</v>
      </c>
      <c r="E577" s="297"/>
      <c r="F577" s="385"/>
      <c r="G577" s="363"/>
      <c r="H577" s="364"/>
      <c r="I577" s="363"/>
      <c r="J577" s="336"/>
    </row>
    <row r="578" spans="1:10" x14ac:dyDescent="0.25">
      <c r="A578" s="303"/>
      <c r="B578" s="351"/>
      <c r="C578" s="581"/>
      <c r="D578" s="343" t="s">
        <v>283</v>
      </c>
      <c r="E578" s="297" t="s">
        <v>61</v>
      </c>
      <c r="F578" s="385">
        <v>1</v>
      </c>
      <c r="G578" s="363">
        <v>308000</v>
      </c>
      <c r="H578" s="364">
        <v>1</v>
      </c>
      <c r="I578" s="363">
        <f t="shared" si="1"/>
        <v>308000</v>
      </c>
      <c r="J578" s="336"/>
    </row>
    <row r="579" spans="1:10" x14ac:dyDescent="0.25">
      <c r="A579" s="303"/>
      <c r="B579" s="351"/>
      <c r="C579" s="581"/>
      <c r="D579" s="384" t="s">
        <v>284</v>
      </c>
      <c r="E579" s="297"/>
      <c r="F579" s="362"/>
      <c r="G579" s="363"/>
      <c r="H579" s="364"/>
      <c r="I579" s="365"/>
      <c r="J579" s="336"/>
    </row>
    <row r="580" spans="1:10" x14ac:dyDescent="0.25">
      <c r="A580" s="303"/>
      <c r="B580" s="351"/>
      <c r="C580" s="581"/>
      <c r="D580" s="386" t="s">
        <v>285</v>
      </c>
      <c r="E580" s="297"/>
      <c r="F580" s="362"/>
      <c r="G580" s="363"/>
      <c r="H580" s="364"/>
      <c r="I580" s="365"/>
      <c r="J580" s="336"/>
    </row>
    <row r="581" spans="1:10" x14ac:dyDescent="0.25">
      <c r="A581" s="303"/>
      <c r="B581" s="351"/>
      <c r="C581" s="581"/>
      <c r="D581" s="670" t="s">
        <v>286</v>
      </c>
      <c r="E581" s="297" t="s">
        <v>61</v>
      </c>
      <c r="F581" s="385">
        <v>2</v>
      </c>
      <c r="G581" s="363">
        <v>280000</v>
      </c>
      <c r="H581" s="364">
        <v>1</v>
      </c>
      <c r="I581" s="363">
        <f>+F581*G581*H581</f>
        <v>560000</v>
      </c>
      <c r="J581" s="336"/>
    </row>
    <row r="582" spans="1:10" x14ac:dyDescent="0.25">
      <c r="A582" s="303"/>
      <c r="B582" s="351"/>
      <c r="C582" s="581"/>
      <c r="D582" s="670"/>
      <c r="E582" s="297"/>
      <c r="F582" s="385"/>
      <c r="G582" s="363"/>
      <c r="H582" s="364"/>
      <c r="I582" s="363"/>
      <c r="J582" s="336"/>
    </row>
    <row r="583" spans="1:10" x14ac:dyDescent="0.25">
      <c r="A583" s="303"/>
      <c r="B583" s="351"/>
      <c r="C583" s="581"/>
      <c r="D583" s="387" t="s">
        <v>287</v>
      </c>
      <c r="E583" s="297" t="s">
        <v>61</v>
      </c>
      <c r="F583" s="385">
        <v>1</v>
      </c>
      <c r="G583" s="363">
        <v>182000</v>
      </c>
      <c r="H583" s="364">
        <v>1</v>
      </c>
      <c r="I583" s="363">
        <f t="shared" ref="I583:I608" si="2">+F583*G583*H583</f>
        <v>182000</v>
      </c>
      <c r="J583" s="336"/>
    </row>
    <row r="584" spans="1:10" x14ac:dyDescent="0.25">
      <c r="A584" s="303"/>
      <c r="B584" s="351"/>
      <c r="C584" s="581"/>
      <c r="D584" s="388" t="s">
        <v>288</v>
      </c>
      <c r="E584" s="297"/>
      <c r="F584" s="385"/>
      <c r="G584" s="363"/>
      <c r="H584" s="364"/>
      <c r="I584" s="363"/>
      <c r="J584" s="336"/>
    </row>
    <row r="585" spans="1:10" x14ac:dyDescent="0.25">
      <c r="A585" s="303"/>
      <c r="B585" s="351"/>
      <c r="C585" s="581"/>
      <c r="D585" s="387" t="s">
        <v>289</v>
      </c>
      <c r="E585" s="297" t="s">
        <v>61</v>
      </c>
      <c r="F585" s="385">
        <v>1</v>
      </c>
      <c r="G585" s="363">
        <v>182000</v>
      </c>
      <c r="H585" s="364">
        <v>1</v>
      </c>
      <c r="I585" s="363">
        <f t="shared" si="2"/>
        <v>182000</v>
      </c>
      <c r="J585" s="336"/>
    </row>
    <row r="586" spans="1:10" x14ac:dyDescent="0.25">
      <c r="A586" s="303"/>
      <c r="B586" s="351"/>
      <c r="C586" s="581"/>
      <c r="D586" s="388" t="s">
        <v>288</v>
      </c>
      <c r="E586" s="297"/>
      <c r="F586" s="385"/>
      <c r="G586" s="363"/>
      <c r="H586" s="364"/>
      <c r="I586" s="363"/>
      <c r="J586" s="336"/>
    </row>
    <row r="587" spans="1:10" x14ac:dyDescent="0.25">
      <c r="A587" s="303"/>
      <c r="B587" s="351"/>
      <c r="C587" s="581"/>
      <c r="D587" s="387" t="s">
        <v>290</v>
      </c>
      <c r="E587" s="297" t="s">
        <v>61</v>
      </c>
      <c r="F587" s="385">
        <v>2</v>
      </c>
      <c r="G587" s="363">
        <v>350000</v>
      </c>
      <c r="H587" s="364">
        <v>1</v>
      </c>
      <c r="I587" s="363">
        <f t="shared" si="2"/>
        <v>700000</v>
      </c>
      <c r="J587" s="336"/>
    </row>
    <row r="588" spans="1:10" x14ac:dyDescent="0.25">
      <c r="A588" s="303"/>
      <c r="B588" s="351"/>
      <c r="C588" s="581"/>
      <c r="D588" s="387" t="s">
        <v>291</v>
      </c>
      <c r="E588" s="297" t="s">
        <v>61</v>
      </c>
      <c r="F588" s="385">
        <v>1</v>
      </c>
      <c r="G588" s="363">
        <v>115000</v>
      </c>
      <c r="H588" s="364">
        <v>1</v>
      </c>
      <c r="I588" s="363">
        <f t="shared" si="2"/>
        <v>115000</v>
      </c>
      <c r="J588" s="336"/>
    </row>
    <row r="589" spans="1:10" x14ac:dyDescent="0.25">
      <c r="A589" s="303"/>
      <c r="B589" s="351"/>
      <c r="C589" s="581"/>
      <c r="D589" s="388" t="s">
        <v>292</v>
      </c>
      <c r="E589" s="297"/>
      <c r="F589" s="385"/>
      <c r="G589" s="363"/>
      <c r="H589" s="364"/>
      <c r="I589" s="363"/>
      <c r="J589" s="336"/>
    </row>
    <row r="590" spans="1:10" x14ac:dyDescent="0.25">
      <c r="A590" s="303"/>
      <c r="B590" s="351"/>
      <c r="C590" s="581"/>
      <c r="D590" s="387" t="s">
        <v>293</v>
      </c>
      <c r="E590" s="297" t="s">
        <v>294</v>
      </c>
      <c r="F590" s="385">
        <v>1</v>
      </c>
      <c r="G590" s="363">
        <v>169000</v>
      </c>
      <c r="H590" s="364">
        <v>1</v>
      </c>
      <c r="I590" s="363">
        <f t="shared" si="2"/>
        <v>169000</v>
      </c>
      <c r="J590" s="336"/>
    </row>
    <row r="591" spans="1:10" x14ac:dyDescent="0.25">
      <c r="A591" s="303"/>
      <c r="B591" s="351"/>
      <c r="C591" s="581"/>
      <c r="D591" s="388" t="s">
        <v>295</v>
      </c>
      <c r="E591" s="297"/>
      <c r="F591" s="385"/>
      <c r="G591" s="363"/>
      <c r="H591" s="364"/>
      <c r="I591" s="363"/>
      <c r="J591" s="336"/>
    </row>
    <row r="592" spans="1:10" x14ac:dyDescent="0.25">
      <c r="A592" s="303"/>
      <c r="B592" s="351"/>
      <c r="C592" s="581"/>
      <c r="D592" s="387" t="s">
        <v>296</v>
      </c>
      <c r="E592" s="297" t="s">
        <v>61</v>
      </c>
      <c r="F592" s="385">
        <v>3</v>
      </c>
      <c r="G592" s="363">
        <v>561000</v>
      </c>
      <c r="H592" s="364">
        <v>1</v>
      </c>
      <c r="I592" s="363">
        <f t="shared" si="2"/>
        <v>1683000</v>
      </c>
      <c r="J592" s="336"/>
    </row>
    <row r="593" spans="1:10" x14ac:dyDescent="0.25">
      <c r="A593" s="303"/>
      <c r="B593" s="351"/>
      <c r="C593" s="581"/>
      <c r="D593" s="387" t="s">
        <v>297</v>
      </c>
      <c r="E593" s="297" t="s">
        <v>61</v>
      </c>
      <c r="F593" s="385">
        <v>5</v>
      </c>
      <c r="G593" s="363">
        <v>1184000</v>
      </c>
      <c r="H593" s="364">
        <v>1</v>
      </c>
      <c r="I593" s="363">
        <f t="shared" si="2"/>
        <v>5920000</v>
      </c>
      <c r="J593" s="336"/>
    </row>
    <row r="594" spans="1:10" x14ac:dyDescent="0.25">
      <c r="A594" s="303"/>
      <c r="B594" s="351"/>
      <c r="C594" s="581"/>
      <c r="D594" s="387" t="s">
        <v>298</v>
      </c>
      <c r="E594" s="297" t="s">
        <v>61</v>
      </c>
      <c r="F594" s="385">
        <v>1</v>
      </c>
      <c r="G594" s="363">
        <v>96000</v>
      </c>
      <c r="H594" s="364">
        <v>1</v>
      </c>
      <c r="I594" s="363">
        <f t="shared" si="2"/>
        <v>96000</v>
      </c>
      <c r="J594" s="336"/>
    </row>
    <row r="595" spans="1:10" x14ac:dyDescent="0.25">
      <c r="A595" s="303"/>
      <c r="B595" s="351"/>
      <c r="C595" s="581"/>
      <c r="D595" s="388" t="s">
        <v>299</v>
      </c>
      <c r="E595" s="297"/>
      <c r="F595" s="385"/>
      <c r="G595" s="363"/>
      <c r="H595" s="364"/>
      <c r="I595" s="363"/>
      <c r="J595" s="336"/>
    </row>
    <row r="596" spans="1:10" x14ac:dyDescent="0.25">
      <c r="A596" s="303"/>
      <c r="B596" s="351"/>
      <c r="C596" s="581"/>
      <c r="D596" s="387" t="s">
        <v>300</v>
      </c>
      <c r="E596" s="297" t="s">
        <v>61</v>
      </c>
      <c r="F596" s="385">
        <v>1</v>
      </c>
      <c r="G596" s="363">
        <v>152000</v>
      </c>
      <c r="H596" s="364">
        <v>1</v>
      </c>
      <c r="I596" s="363">
        <f t="shared" si="2"/>
        <v>152000</v>
      </c>
      <c r="J596" s="336"/>
    </row>
    <row r="597" spans="1:10" x14ac:dyDescent="0.25">
      <c r="A597" s="303"/>
      <c r="B597" s="351"/>
      <c r="C597" s="581"/>
      <c r="D597" s="373" t="s">
        <v>301</v>
      </c>
      <c r="E597" s="297"/>
      <c r="F597" s="385"/>
      <c r="G597" s="363"/>
      <c r="H597" s="364"/>
      <c r="I597" s="363"/>
      <c r="J597" s="336"/>
    </row>
    <row r="598" spans="1:10" x14ac:dyDescent="0.25">
      <c r="A598" s="303"/>
      <c r="B598" s="351"/>
      <c r="C598" s="581"/>
      <c r="D598" s="387" t="s">
        <v>302</v>
      </c>
      <c r="E598" s="297" t="s">
        <v>61</v>
      </c>
      <c r="F598" s="385">
        <v>5</v>
      </c>
      <c r="G598" s="363">
        <v>901000</v>
      </c>
      <c r="H598" s="364">
        <v>1</v>
      </c>
      <c r="I598" s="363">
        <f t="shared" si="2"/>
        <v>4505000</v>
      </c>
      <c r="J598" s="336"/>
    </row>
    <row r="599" spans="1:10" x14ac:dyDescent="0.25">
      <c r="A599" s="303"/>
      <c r="B599" s="351"/>
      <c r="C599" s="581"/>
      <c r="D599" s="387" t="s">
        <v>303</v>
      </c>
      <c r="E599" s="297" t="s">
        <v>61</v>
      </c>
      <c r="F599" s="385">
        <v>17</v>
      </c>
      <c r="G599" s="363">
        <v>53000</v>
      </c>
      <c r="H599" s="364">
        <v>1</v>
      </c>
      <c r="I599" s="363">
        <f t="shared" si="2"/>
        <v>901000</v>
      </c>
      <c r="J599" s="336"/>
    </row>
    <row r="600" spans="1:10" x14ac:dyDescent="0.25">
      <c r="A600" s="303"/>
      <c r="B600" s="351"/>
      <c r="C600" s="581"/>
      <c r="D600" s="373" t="s">
        <v>304</v>
      </c>
      <c r="E600" s="297"/>
      <c r="F600" s="385"/>
      <c r="G600" s="363"/>
      <c r="H600" s="364"/>
      <c r="I600" s="363"/>
      <c r="J600" s="336"/>
    </row>
    <row r="601" spans="1:10" x14ac:dyDescent="0.25">
      <c r="A601" s="303"/>
      <c r="B601" s="351"/>
      <c r="C601" s="581"/>
      <c r="D601" s="387" t="s">
        <v>305</v>
      </c>
      <c r="E601" s="297" t="s">
        <v>61</v>
      </c>
      <c r="F601" s="385">
        <v>9</v>
      </c>
      <c r="G601" s="363">
        <v>53000</v>
      </c>
      <c r="H601" s="364">
        <v>1</v>
      </c>
      <c r="I601" s="363">
        <f t="shared" si="2"/>
        <v>477000</v>
      </c>
      <c r="J601" s="336"/>
    </row>
    <row r="602" spans="1:10" x14ac:dyDescent="0.25">
      <c r="A602" s="303"/>
      <c r="B602" s="351"/>
      <c r="C602" s="581"/>
      <c r="D602" s="373" t="s">
        <v>304</v>
      </c>
      <c r="E602" s="297"/>
      <c r="F602" s="385"/>
      <c r="G602" s="363"/>
      <c r="H602" s="364"/>
      <c r="I602" s="363"/>
      <c r="J602" s="336"/>
    </row>
    <row r="603" spans="1:10" x14ac:dyDescent="0.25">
      <c r="A603" s="303"/>
      <c r="B603" s="351"/>
      <c r="C603" s="581"/>
      <c r="D603" s="387" t="s">
        <v>306</v>
      </c>
      <c r="E603" s="297" t="s">
        <v>61</v>
      </c>
      <c r="F603" s="385">
        <v>1</v>
      </c>
      <c r="G603" s="363">
        <v>53000</v>
      </c>
      <c r="H603" s="364">
        <v>1</v>
      </c>
      <c r="I603" s="363">
        <f t="shared" si="2"/>
        <v>53000</v>
      </c>
      <c r="J603" s="336"/>
    </row>
    <row r="604" spans="1:10" x14ac:dyDescent="0.25">
      <c r="A604" s="303"/>
      <c r="B604" s="351"/>
      <c r="C604" s="581"/>
      <c r="D604" s="373" t="s">
        <v>304</v>
      </c>
      <c r="E604" s="297"/>
      <c r="F604" s="385"/>
      <c r="G604" s="363"/>
      <c r="H604" s="364"/>
      <c r="I604" s="363"/>
      <c r="J604" s="336"/>
    </row>
    <row r="605" spans="1:10" x14ac:dyDescent="0.25">
      <c r="A605" s="303"/>
      <c r="B605" s="351"/>
      <c r="C605" s="581"/>
      <c r="D605" s="387" t="s">
        <v>307</v>
      </c>
      <c r="E605" s="297" t="s">
        <v>61</v>
      </c>
      <c r="F605" s="385">
        <v>3</v>
      </c>
      <c r="G605" s="363">
        <v>531000</v>
      </c>
      <c r="H605" s="364">
        <v>1</v>
      </c>
      <c r="I605" s="363">
        <f t="shared" si="2"/>
        <v>1593000</v>
      </c>
      <c r="J605" s="336"/>
    </row>
    <row r="606" spans="1:10" x14ac:dyDescent="0.25">
      <c r="A606" s="303"/>
      <c r="B606" s="351"/>
      <c r="C606" s="581"/>
      <c r="D606" s="387" t="s">
        <v>308</v>
      </c>
      <c r="E606" s="297" t="s">
        <v>61</v>
      </c>
      <c r="F606" s="385">
        <v>2</v>
      </c>
      <c r="G606" s="363">
        <v>154000</v>
      </c>
      <c r="H606" s="364">
        <v>1</v>
      </c>
      <c r="I606" s="363">
        <f t="shared" si="2"/>
        <v>308000</v>
      </c>
      <c r="J606" s="336"/>
    </row>
    <row r="607" spans="1:10" x14ac:dyDescent="0.25">
      <c r="A607" s="303"/>
      <c r="B607" s="351"/>
      <c r="C607" s="581"/>
      <c r="D607" s="373" t="s">
        <v>309</v>
      </c>
      <c r="E607" s="297"/>
      <c r="F607" s="385"/>
      <c r="G607" s="363"/>
      <c r="H607" s="364"/>
      <c r="I607" s="363"/>
      <c r="J607" s="336"/>
    </row>
    <row r="608" spans="1:10" x14ac:dyDescent="0.25">
      <c r="A608" s="303"/>
      <c r="B608" s="351"/>
      <c r="C608" s="581"/>
      <c r="D608" s="387" t="s">
        <v>310</v>
      </c>
      <c r="E608" s="297" t="s">
        <v>61</v>
      </c>
      <c r="F608" s="385">
        <v>24</v>
      </c>
      <c r="G608" s="363">
        <v>96000</v>
      </c>
      <c r="H608" s="364">
        <v>1</v>
      </c>
      <c r="I608" s="363">
        <f t="shared" si="2"/>
        <v>2304000</v>
      </c>
      <c r="J608" s="336"/>
    </row>
    <row r="609" spans="1:10" x14ac:dyDescent="0.25">
      <c r="A609" s="303"/>
      <c r="B609" s="351"/>
      <c r="C609" s="581"/>
      <c r="D609" s="387"/>
      <c r="E609" s="297"/>
      <c r="F609" s="385"/>
      <c r="G609" s="363"/>
      <c r="H609" s="364"/>
      <c r="I609" s="365"/>
      <c r="J609" s="336"/>
    </row>
    <row r="610" spans="1:10" ht="17.25" x14ac:dyDescent="0.3">
      <c r="A610" s="303"/>
      <c r="B610" s="351"/>
      <c r="C610" s="581"/>
      <c r="D610" s="389" t="s">
        <v>311</v>
      </c>
      <c r="E610" s="297"/>
      <c r="F610" s="385"/>
      <c r="G610" s="363"/>
      <c r="H610" s="364"/>
      <c r="I610" s="365"/>
      <c r="J610" s="336"/>
    </row>
    <row r="611" spans="1:10" x14ac:dyDescent="0.25">
      <c r="A611" s="303"/>
      <c r="B611" s="351"/>
      <c r="C611" s="581"/>
      <c r="D611" s="387" t="s">
        <v>312</v>
      </c>
      <c r="E611" s="297" t="s">
        <v>61</v>
      </c>
      <c r="F611" s="385">
        <v>7</v>
      </c>
      <c r="G611" s="363">
        <v>1844000</v>
      </c>
      <c r="H611" s="364">
        <v>1</v>
      </c>
      <c r="I611" s="363">
        <f>+H611*G611*F611</f>
        <v>12908000</v>
      </c>
      <c r="J611" s="336"/>
    </row>
    <row r="612" spans="1:10" x14ac:dyDescent="0.25">
      <c r="A612" s="303"/>
      <c r="B612" s="351"/>
      <c r="C612" s="581"/>
      <c r="D612" s="387" t="s">
        <v>296</v>
      </c>
      <c r="E612" s="297" t="s">
        <v>61</v>
      </c>
      <c r="F612" s="385">
        <v>15</v>
      </c>
      <c r="G612" s="363">
        <v>561000</v>
      </c>
      <c r="H612" s="364">
        <v>1</v>
      </c>
      <c r="I612" s="363">
        <f t="shared" ref="I612:I627" si="3">+H612*G612*F612</f>
        <v>8415000</v>
      </c>
      <c r="J612" s="336"/>
    </row>
    <row r="613" spans="1:10" x14ac:dyDescent="0.25">
      <c r="A613" s="303"/>
      <c r="B613" s="351"/>
      <c r="C613" s="581"/>
      <c r="D613" s="387" t="s">
        <v>313</v>
      </c>
      <c r="E613" s="297" t="s">
        <v>61</v>
      </c>
      <c r="F613" s="385">
        <v>3</v>
      </c>
      <c r="G613" s="363">
        <v>2324000</v>
      </c>
      <c r="H613" s="364">
        <v>1</v>
      </c>
      <c r="I613" s="363">
        <f t="shared" si="3"/>
        <v>6972000</v>
      </c>
      <c r="J613" s="336"/>
    </row>
    <row r="614" spans="1:10" x14ac:dyDescent="0.25">
      <c r="A614" s="303"/>
      <c r="B614" s="351"/>
      <c r="C614" s="581"/>
      <c r="D614" s="387" t="s">
        <v>314</v>
      </c>
      <c r="E614" s="297" t="s">
        <v>61</v>
      </c>
      <c r="F614" s="385">
        <v>14</v>
      </c>
      <c r="G614" s="363">
        <v>1375000</v>
      </c>
      <c r="H614" s="364">
        <v>1</v>
      </c>
      <c r="I614" s="363">
        <f t="shared" si="3"/>
        <v>19250000</v>
      </c>
      <c r="J614" s="336"/>
    </row>
    <row r="615" spans="1:10" x14ac:dyDescent="0.25">
      <c r="A615" s="303"/>
      <c r="B615" s="351"/>
      <c r="C615" s="581"/>
      <c r="D615" s="387" t="s">
        <v>315</v>
      </c>
      <c r="E615" s="297" t="s">
        <v>61</v>
      </c>
      <c r="F615" s="385">
        <v>1</v>
      </c>
      <c r="G615" s="363">
        <v>152000</v>
      </c>
      <c r="H615" s="364">
        <v>1</v>
      </c>
      <c r="I615" s="363">
        <f t="shared" si="3"/>
        <v>152000</v>
      </c>
      <c r="J615" s="336"/>
    </row>
    <row r="616" spans="1:10" x14ac:dyDescent="0.25">
      <c r="A616" s="303"/>
      <c r="B616" s="351"/>
      <c r="C616" s="581"/>
      <c r="D616" s="373" t="s">
        <v>316</v>
      </c>
      <c r="E616" s="297"/>
      <c r="F616" s="385"/>
      <c r="G616" s="363"/>
      <c r="H616" s="364"/>
      <c r="I616" s="363"/>
      <c r="J616" s="336"/>
    </row>
    <row r="617" spans="1:10" x14ac:dyDescent="0.25">
      <c r="A617" s="303"/>
      <c r="B617" s="351"/>
      <c r="C617" s="581"/>
      <c r="D617" s="387" t="s">
        <v>317</v>
      </c>
      <c r="E617" s="297" t="s">
        <v>61</v>
      </c>
      <c r="F617" s="385">
        <v>2</v>
      </c>
      <c r="G617" s="363">
        <v>165000</v>
      </c>
      <c r="H617" s="364">
        <v>1</v>
      </c>
      <c r="I617" s="363">
        <f t="shared" si="3"/>
        <v>330000</v>
      </c>
      <c r="J617" s="336"/>
    </row>
    <row r="618" spans="1:10" x14ac:dyDescent="0.25">
      <c r="A618" s="303"/>
      <c r="B618" s="351"/>
      <c r="C618" s="581"/>
      <c r="D618" s="387" t="s">
        <v>318</v>
      </c>
      <c r="E618" s="297" t="s">
        <v>61</v>
      </c>
      <c r="F618" s="385">
        <v>1</v>
      </c>
      <c r="G618" s="363">
        <v>275000</v>
      </c>
      <c r="H618" s="364">
        <v>1</v>
      </c>
      <c r="I618" s="363">
        <f t="shared" si="3"/>
        <v>275000</v>
      </c>
      <c r="J618" s="336"/>
    </row>
    <row r="619" spans="1:10" x14ac:dyDescent="0.25">
      <c r="A619" s="303"/>
      <c r="B619" s="351"/>
      <c r="C619" s="581"/>
      <c r="D619" s="387" t="s">
        <v>308</v>
      </c>
      <c r="E619" s="297" t="s">
        <v>61</v>
      </c>
      <c r="F619" s="385">
        <v>27</v>
      </c>
      <c r="G619" s="363">
        <v>154000</v>
      </c>
      <c r="H619" s="364">
        <v>1</v>
      </c>
      <c r="I619" s="363">
        <f t="shared" si="3"/>
        <v>4158000</v>
      </c>
      <c r="J619" s="336"/>
    </row>
    <row r="620" spans="1:10" x14ac:dyDescent="0.25">
      <c r="A620" s="303"/>
      <c r="B620" s="351"/>
      <c r="C620" s="581"/>
      <c r="D620" s="373" t="s">
        <v>309</v>
      </c>
      <c r="E620" s="297"/>
      <c r="F620" s="385"/>
      <c r="G620" s="363"/>
      <c r="H620" s="364"/>
      <c r="I620" s="363"/>
      <c r="J620" s="336"/>
    </row>
    <row r="621" spans="1:10" x14ac:dyDescent="0.25">
      <c r="A621" s="303"/>
      <c r="B621" s="351"/>
      <c r="C621" s="581"/>
      <c r="D621" s="387" t="s">
        <v>305</v>
      </c>
      <c r="E621" s="297" t="s">
        <v>61</v>
      </c>
      <c r="F621" s="385">
        <v>13</v>
      </c>
      <c r="G621" s="363">
        <v>53000</v>
      </c>
      <c r="H621" s="364">
        <v>1</v>
      </c>
      <c r="I621" s="363">
        <f t="shared" si="3"/>
        <v>689000</v>
      </c>
      <c r="J621" s="336"/>
    </row>
    <row r="622" spans="1:10" x14ac:dyDescent="0.25">
      <c r="A622" s="303"/>
      <c r="B622" s="351"/>
      <c r="C622" s="581"/>
      <c r="D622" s="373" t="s">
        <v>269</v>
      </c>
      <c r="E622" s="297"/>
      <c r="F622" s="385"/>
      <c r="G622" s="363"/>
      <c r="H622" s="364"/>
      <c r="I622" s="363"/>
      <c r="J622" s="336"/>
    </row>
    <row r="623" spans="1:10" x14ac:dyDescent="0.25">
      <c r="A623" s="303"/>
      <c r="B623" s="351"/>
      <c r="C623" s="581"/>
      <c r="D623" s="387" t="s">
        <v>319</v>
      </c>
      <c r="E623" s="297" t="s">
        <v>61</v>
      </c>
      <c r="F623" s="385">
        <v>12</v>
      </c>
      <c r="G623" s="363">
        <v>53000</v>
      </c>
      <c r="H623" s="364">
        <v>1</v>
      </c>
      <c r="I623" s="363">
        <f t="shared" si="3"/>
        <v>636000</v>
      </c>
      <c r="J623" s="336"/>
    </row>
    <row r="624" spans="1:10" x14ac:dyDescent="0.25">
      <c r="A624" s="303"/>
      <c r="B624" s="351"/>
      <c r="C624" s="581"/>
      <c r="D624" s="373" t="s">
        <v>269</v>
      </c>
      <c r="E624" s="297"/>
      <c r="F624" s="385"/>
      <c r="G624" s="363"/>
      <c r="H624" s="364"/>
      <c r="I624" s="363"/>
      <c r="J624" s="336"/>
    </row>
    <row r="625" spans="1:10" x14ac:dyDescent="0.25">
      <c r="A625" s="303"/>
      <c r="B625" s="351"/>
      <c r="C625" s="581"/>
      <c r="D625" s="387" t="s">
        <v>320</v>
      </c>
      <c r="E625" s="297" t="s">
        <v>61</v>
      </c>
      <c r="F625" s="385">
        <v>80</v>
      </c>
      <c r="G625" s="363">
        <v>115000</v>
      </c>
      <c r="H625" s="364">
        <v>1</v>
      </c>
      <c r="I625" s="363">
        <f t="shared" si="3"/>
        <v>9200000</v>
      </c>
      <c r="J625" s="336"/>
    </row>
    <row r="626" spans="1:10" x14ac:dyDescent="0.25">
      <c r="A626" s="303"/>
      <c r="B626" s="351"/>
      <c r="C626" s="581"/>
      <c r="D626" s="387" t="s">
        <v>321</v>
      </c>
      <c r="E626" s="297" t="s">
        <v>61</v>
      </c>
      <c r="F626" s="385">
        <v>79</v>
      </c>
      <c r="G626" s="363">
        <v>103000</v>
      </c>
      <c r="H626" s="364">
        <v>1</v>
      </c>
      <c r="I626" s="363">
        <f t="shared" si="3"/>
        <v>8137000</v>
      </c>
      <c r="J626" s="336"/>
    </row>
    <row r="627" spans="1:10" x14ac:dyDescent="0.25">
      <c r="A627" s="303"/>
      <c r="B627" s="351"/>
      <c r="C627" s="581"/>
      <c r="D627" s="387" t="s">
        <v>322</v>
      </c>
      <c r="E627" s="297" t="s">
        <v>61</v>
      </c>
      <c r="F627" s="385">
        <v>135</v>
      </c>
      <c r="G627" s="363">
        <v>91000</v>
      </c>
      <c r="H627" s="364">
        <v>1</v>
      </c>
      <c r="I627" s="363">
        <f t="shared" si="3"/>
        <v>12285000</v>
      </c>
      <c r="J627" s="336"/>
    </row>
    <row r="628" spans="1:10" x14ac:dyDescent="0.25">
      <c r="A628" s="303"/>
      <c r="B628" s="351"/>
      <c r="C628" s="581"/>
      <c r="D628" s="373"/>
      <c r="E628" s="297"/>
      <c r="F628" s="362"/>
      <c r="G628" s="363"/>
      <c r="H628" s="364"/>
      <c r="I628" s="365"/>
      <c r="J628" s="336"/>
    </row>
    <row r="629" spans="1:10" x14ac:dyDescent="0.25">
      <c r="A629" s="318"/>
      <c r="B629" s="318"/>
      <c r="C629" s="581"/>
      <c r="D629" s="390" t="s">
        <v>80</v>
      </c>
      <c r="E629" s="297"/>
      <c r="F629" s="298"/>
      <c r="G629" s="299"/>
      <c r="H629" s="309"/>
      <c r="I629" s="301"/>
      <c r="J629" s="302">
        <f>I638+I656+I662+I664</f>
        <v>1580862160.0000002</v>
      </c>
    </row>
    <row r="630" spans="1:10" x14ac:dyDescent="0.25">
      <c r="A630" s="318"/>
      <c r="B630" s="318"/>
      <c r="C630" s="581"/>
      <c r="D630" s="391" t="s">
        <v>323</v>
      </c>
      <c r="E630" s="297"/>
      <c r="F630" s="335"/>
      <c r="G630" s="392"/>
      <c r="H630" s="392"/>
      <c r="I630" s="381"/>
      <c r="J630" s="317"/>
    </row>
    <row r="631" spans="1:10" x14ac:dyDescent="0.25">
      <c r="A631" s="318"/>
      <c r="B631" s="318"/>
      <c r="C631" s="581"/>
      <c r="D631" s="563" t="s">
        <v>324</v>
      </c>
      <c r="E631" s="297"/>
      <c r="F631" s="335"/>
      <c r="G631" s="392"/>
      <c r="H631" s="392"/>
      <c r="I631" s="381"/>
      <c r="J631" s="317"/>
    </row>
    <row r="632" spans="1:10" x14ac:dyDescent="0.25">
      <c r="A632" s="318"/>
      <c r="B632" s="318"/>
      <c r="C632" s="581"/>
      <c r="D632" s="563"/>
      <c r="E632" s="297"/>
      <c r="F632" s="335"/>
      <c r="G632" s="392"/>
      <c r="H632" s="392"/>
      <c r="I632" s="381"/>
      <c r="J632" s="317"/>
    </row>
    <row r="633" spans="1:10" x14ac:dyDescent="0.25">
      <c r="A633" s="318"/>
      <c r="B633" s="318"/>
      <c r="C633" s="581"/>
      <c r="D633" s="563"/>
      <c r="E633" s="297"/>
      <c r="F633" s="335"/>
      <c r="G633" s="392"/>
      <c r="H633" s="392"/>
      <c r="I633" s="381"/>
      <c r="J633" s="317"/>
    </row>
    <row r="634" spans="1:10" x14ac:dyDescent="0.25">
      <c r="A634" s="318"/>
      <c r="B634" s="318"/>
      <c r="C634" s="581"/>
      <c r="D634" s="563"/>
      <c r="E634" s="297"/>
      <c r="F634" s="335"/>
      <c r="G634" s="392"/>
      <c r="H634" s="392"/>
      <c r="I634" s="381"/>
      <c r="J634" s="317"/>
    </row>
    <row r="635" spans="1:10" x14ac:dyDescent="0.25">
      <c r="A635" s="318"/>
      <c r="B635" s="318"/>
      <c r="C635" s="581"/>
      <c r="D635" s="563"/>
      <c r="E635" s="297"/>
      <c r="F635" s="335"/>
      <c r="G635" s="392"/>
      <c r="H635" s="392"/>
      <c r="I635" s="381"/>
      <c r="J635" s="317"/>
    </row>
    <row r="636" spans="1:10" x14ac:dyDescent="0.25">
      <c r="A636" s="318"/>
      <c r="B636" s="318"/>
      <c r="C636" s="581"/>
      <c r="D636" s="563"/>
      <c r="E636" s="297"/>
      <c r="F636" s="335"/>
      <c r="G636" s="392"/>
      <c r="H636" s="392"/>
      <c r="I636" s="381"/>
      <c r="J636" s="317"/>
    </row>
    <row r="637" spans="1:10" x14ac:dyDescent="0.25">
      <c r="A637" s="318"/>
      <c r="B637" s="318"/>
      <c r="C637" s="581"/>
      <c r="D637" s="575" t="s">
        <v>325</v>
      </c>
      <c r="E637" s="310"/>
      <c r="F637" s="393"/>
      <c r="G637" s="394"/>
      <c r="H637" s="324"/>
      <c r="I637" s="394"/>
      <c r="J637" s="317"/>
    </row>
    <row r="638" spans="1:10" x14ac:dyDescent="0.25">
      <c r="A638" s="318"/>
      <c r="B638" s="318"/>
      <c r="C638" s="581"/>
      <c r="D638" s="575"/>
      <c r="E638" s="310" t="s">
        <v>59</v>
      </c>
      <c r="F638" s="395">
        <f>30*24*1</f>
        <v>720</v>
      </c>
      <c r="G638" s="394">
        <v>13438</v>
      </c>
      <c r="H638" s="324">
        <v>1</v>
      </c>
      <c r="I638" s="394">
        <f>F638*G638*H638</f>
        <v>9675360</v>
      </c>
      <c r="J638" s="317"/>
    </row>
    <row r="639" spans="1:10" x14ac:dyDescent="0.25">
      <c r="A639" s="318"/>
      <c r="B639" s="318"/>
      <c r="C639" s="581"/>
      <c r="D639" s="575"/>
      <c r="E639" s="310"/>
      <c r="F639" s="395"/>
      <c r="G639" s="394"/>
      <c r="H639" s="324"/>
      <c r="I639" s="394"/>
      <c r="J639" s="317"/>
    </row>
    <row r="640" spans="1:10" x14ac:dyDescent="0.25">
      <c r="A640" s="318"/>
      <c r="B640" s="318"/>
      <c r="C640" s="581"/>
      <c r="D640" s="575"/>
      <c r="E640" s="396"/>
      <c r="F640" s="396"/>
      <c r="G640" s="396"/>
      <c r="H640" s="396"/>
      <c r="I640" s="396"/>
      <c r="J640" s="397"/>
    </row>
    <row r="641" spans="1:10" x14ac:dyDescent="0.25">
      <c r="A641" s="318"/>
      <c r="B641" s="318"/>
      <c r="C641" s="581"/>
      <c r="D641" s="15" t="s">
        <v>17</v>
      </c>
      <c r="E641" s="398"/>
      <c r="F641" s="398"/>
      <c r="G641" s="398"/>
      <c r="H641" s="398"/>
      <c r="I641" s="399"/>
      <c r="J641" s="398"/>
    </row>
    <row r="642" spans="1:10" x14ac:dyDescent="0.25">
      <c r="A642" s="318"/>
      <c r="B642" s="318"/>
      <c r="C642" s="581"/>
      <c r="D642" s="563" t="s">
        <v>326</v>
      </c>
      <c r="E642" s="398"/>
      <c r="F642" s="398"/>
      <c r="G642" s="398"/>
      <c r="H642" s="398"/>
      <c r="I642" s="399"/>
      <c r="J642" s="398"/>
    </row>
    <row r="643" spans="1:10" x14ac:dyDescent="0.25">
      <c r="A643" s="318"/>
      <c r="B643" s="318"/>
      <c r="C643" s="581"/>
      <c r="D643" s="563"/>
      <c r="E643" s="398"/>
      <c r="F643" s="398"/>
      <c r="G643" s="398"/>
      <c r="H643" s="398"/>
      <c r="I643" s="399"/>
      <c r="J643" s="398"/>
    </row>
    <row r="644" spans="1:10" x14ac:dyDescent="0.25">
      <c r="A644" s="318"/>
      <c r="B644" s="318"/>
      <c r="C644" s="581"/>
      <c r="D644" s="563"/>
      <c r="E644" s="398"/>
      <c r="F644" s="398"/>
      <c r="G644" s="398"/>
      <c r="H644" s="398"/>
      <c r="I644" s="399"/>
      <c r="J644" s="398"/>
    </row>
    <row r="645" spans="1:10" x14ac:dyDescent="0.25">
      <c r="A645" s="318"/>
      <c r="B645" s="318"/>
      <c r="C645" s="581"/>
      <c r="D645" s="563"/>
      <c r="E645" s="398"/>
      <c r="F645" s="398"/>
      <c r="G645" s="398"/>
      <c r="H645" s="398"/>
      <c r="I645" s="399"/>
      <c r="J645" s="398"/>
    </row>
    <row r="646" spans="1:10" x14ac:dyDescent="0.25">
      <c r="A646" s="318"/>
      <c r="B646" s="318"/>
      <c r="C646" s="581"/>
      <c r="D646" s="563"/>
      <c r="E646" s="398"/>
      <c r="F646" s="398"/>
      <c r="G646" s="398"/>
      <c r="H646" s="398"/>
      <c r="I646" s="399"/>
      <c r="J646" s="398"/>
    </row>
    <row r="647" spans="1:10" x14ac:dyDescent="0.25">
      <c r="A647" s="318"/>
      <c r="B647" s="318"/>
      <c r="C647" s="581"/>
      <c r="D647" s="563" t="s">
        <v>327</v>
      </c>
      <c r="E647" s="396"/>
      <c r="F647" s="396"/>
      <c r="G647" s="396"/>
      <c r="H647" s="396"/>
      <c r="I647" s="396"/>
      <c r="J647" s="402"/>
    </row>
    <row r="648" spans="1:10" x14ac:dyDescent="0.25">
      <c r="A648" s="318"/>
      <c r="B648" s="318"/>
      <c r="C648" s="581"/>
      <c r="D648" s="563"/>
      <c r="E648" s="396"/>
      <c r="F648" s="396"/>
      <c r="G648" s="396"/>
      <c r="H648" s="396"/>
      <c r="I648" s="396"/>
      <c r="J648" s="402"/>
    </row>
    <row r="649" spans="1:10" x14ac:dyDescent="0.25">
      <c r="A649" s="318"/>
      <c r="B649" s="318"/>
      <c r="C649" s="581"/>
      <c r="D649" s="563"/>
      <c r="E649" s="396"/>
      <c r="F649" s="396"/>
      <c r="G649" s="396"/>
      <c r="H649" s="396"/>
      <c r="I649" s="396"/>
      <c r="J649" s="402"/>
    </row>
    <row r="650" spans="1:10" x14ac:dyDescent="0.25">
      <c r="A650" s="318"/>
      <c r="B650" s="318"/>
      <c r="C650" s="581"/>
      <c r="D650" s="563"/>
      <c r="E650" s="396"/>
      <c r="F650" s="396"/>
      <c r="G650" s="396"/>
      <c r="H650" s="396"/>
      <c r="I650" s="396"/>
      <c r="J650" s="402"/>
    </row>
    <row r="651" spans="1:10" x14ac:dyDescent="0.25">
      <c r="A651" s="318"/>
      <c r="B651" s="318"/>
      <c r="C651" s="581"/>
      <c r="D651" s="563"/>
      <c r="E651" s="396"/>
      <c r="F651" s="396"/>
      <c r="G651" s="396"/>
      <c r="H651" s="396"/>
      <c r="I651" s="396"/>
      <c r="J651" s="402"/>
    </row>
    <row r="652" spans="1:10" x14ac:dyDescent="0.25">
      <c r="A652" s="318"/>
      <c r="B652" s="318"/>
      <c r="C652" s="581"/>
      <c r="D652" s="563"/>
      <c r="E652" s="396"/>
      <c r="F652" s="396"/>
      <c r="G652" s="396"/>
      <c r="H652" s="396"/>
      <c r="I652" s="396"/>
      <c r="J652" s="402"/>
    </row>
    <row r="653" spans="1:10" x14ac:dyDescent="0.25">
      <c r="A653" s="318"/>
      <c r="B653" s="318"/>
      <c r="C653" s="581"/>
      <c r="D653" s="563"/>
      <c r="E653" s="396"/>
      <c r="F653" s="396"/>
      <c r="G653" s="396"/>
      <c r="H653" s="396"/>
      <c r="I653" s="396"/>
      <c r="J653" s="402"/>
    </row>
    <row r="654" spans="1:10" x14ac:dyDescent="0.25">
      <c r="A654" s="318"/>
      <c r="B654" s="318"/>
      <c r="C654" s="581"/>
      <c r="D654" s="563"/>
      <c r="E654" s="396"/>
      <c r="F654" s="396"/>
      <c r="G654" s="396"/>
      <c r="H654" s="396"/>
      <c r="I654" s="396"/>
      <c r="J654" s="402"/>
    </row>
    <row r="655" spans="1:10" x14ac:dyDescent="0.25">
      <c r="A655" s="318"/>
      <c r="B655" s="318"/>
      <c r="C655" s="581"/>
      <c r="D655" s="563"/>
      <c r="E655" s="396"/>
      <c r="F655" s="396"/>
      <c r="G655" s="396"/>
      <c r="H655" s="396"/>
      <c r="I655" s="396"/>
      <c r="J655" s="402"/>
    </row>
    <row r="656" spans="1:10" x14ac:dyDescent="0.25">
      <c r="A656" s="318"/>
      <c r="B656" s="318"/>
      <c r="C656" s="581"/>
      <c r="D656" s="403" t="s">
        <v>328</v>
      </c>
      <c r="E656" s="310" t="s">
        <v>12</v>
      </c>
      <c r="F656" s="393">
        <f>F292</f>
        <v>4665.7000000000007</v>
      </c>
      <c r="G656" s="400">
        <v>324000</v>
      </c>
      <c r="H656" s="401">
        <v>1</v>
      </c>
      <c r="I656" s="400">
        <f>F656*G656*H656</f>
        <v>1511686800.0000002</v>
      </c>
      <c r="J656" s="402"/>
    </row>
    <row r="657" spans="1:10" x14ac:dyDescent="0.25">
      <c r="A657" s="318"/>
      <c r="B657" s="318"/>
      <c r="C657" s="581"/>
      <c r="D657" s="405" t="s">
        <v>329</v>
      </c>
      <c r="E657" s="318"/>
      <c r="F657" s="318"/>
      <c r="G657" s="406"/>
      <c r="H657" s="407"/>
      <c r="I657" s="407"/>
      <c r="J657" s="407"/>
    </row>
    <row r="658" spans="1:10" x14ac:dyDescent="0.25">
      <c r="A658" s="318"/>
      <c r="B658" s="318"/>
      <c r="C658" s="581"/>
      <c r="D658" s="563" t="s">
        <v>330</v>
      </c>
      <c r="E658" s="408"/>
      <c r="F658" s="409"/>
      <c r="G658" s="406"/>
      <c r="H658" s="407"/>
      <c r="I658" s="407"/>
      <c r="J658" s="407"/>
    </row>
    <row r="659" spans="1:10" x14ac:dyDescent="0.25">
      <c r="A659" s="318"/>
      <c r="B659" s="318"/>
      <c r="C659" s="581"/>
      <c r="D659" s="563"/>
      <c r="E659" s="408"/>
      <c r="F659" s="409"/>
      <c r="G659" s="406"/>
      <c r="H659" s="407"/>
      <c r="I659" s="407"/>
      <c r="J659" s="407"/>
    </row>
    <row r="660" spans="1:10" x14ac:dyDescent="0.25">
      <c r="A660" s="318"/>
      <c r="B660" s="318"/>
      <c r="C660" s="581"/>
      <c r="D660" s="563"/>
      <c r="E660" s="408"/>
      <c r="F660" s="409"/>
      <c r="G660" s="406"/>
      <c r="H660" s="407"/>
      <c r="I660" s="407"/>
      <c r="J660" s="407"/>
    </row>
    <row r="661" spans="1:10" x14ac:dyDescent="0.25">
      <c r="A661" s="318"/>
      <c r="B661" s="318"/>
      <c r="C661" s="581"/>
      <c r="D661" s="563"/>
      <c r="E661" s="408"/>
      <c r="F661" s="409"/>
      <c r="G661" s="406"/>
      <c r="H661" s="407"/>
      <c r="I661" s="407"/>
      <c r="J661" s="407"/>
    </row>
    <row r="662" spans="1:10" x14ac:dyDescent="0.25">
      <c r="A662" s="318"/>
      <c r="B662" s="318"/>
      <c r="C662" s="581"/>
      <c r="D662" s="576" t="s">
        <v>331</v>
      </c>
      <c r="E662" s="408" t="s">
        <v>332</v>
      </c>
      <c r="F662" s="409">
        <v>5</v>
      </c>
      <c r="G662" s="400">
        <v>7000000</v>
      </c>
      <c r="H662" s="401">
        <v>1</v>
      </c>
      <c r="I662" s="400">
        <f>F662*G662*H662</f>
        <v>35000000</v>
      </c>
      <c r="J662" s="402"/>
    </row>
    <row r="663" spans="1:10" x14ac:dyDescent="0.25">
      <c r="A663" s="318"/>
      <c r="B663" s="318"/>
      <c r="C663" s="581"/>
      <c r="D663" s="576"/>
      <c r="E663" s="408"/>
      <c r="F663" s="409"/>
      <c r="G663" s="400"/>
      <c r="H663" s="401"/>
      <c r="I663" s="400"/>
      <c r="J663" s="402"/>
    </row>
    <row r="664" spans="1:10" x14ac:dyDescent="0.25">
      <c r="A664" s="318"/>
      <c r="B664" s="318"/>
      <c r="C664" s="581"/>
      <c r="D664" s="668" t="s">
        <v>333</v>
      </c>
      <c r="E664" s="408" t="s">
        <v>332</v>
      </c>
      <c r="F664" s="409">
        <v>5</v>
      </c>
      <c r="G664" s="400">
        <v>4900000</v>
      </c>
      <c r="H664" s="401">
        <v>1</v>
      </c>
      <c r="I664" s="400">
        <f>F664*G664*H664</f>
        <v>24500000</v>
      </c>
      <c r="J664" s="407"/>
    </row>
    <row r="665" spans="1:10" x14ac:dyDescent="0.25">
      <c r="A665" s="318"/>
      <c r="B665" s="318"/>
      <c r="C665" s="581"/>
      <c r="D665" s="668"/>
      <c r="E665" s="408"/>
      <c r="F665" s="409"/>
      <c r="G665" s="400"/>
      <c r="H665" s="401"/>
      <c r="I665" s="400"/>
      <c r="J665" s="407"/>
    </row>
    <row r="666" spans="1:10" x14ac:dyDescent="0.25">
      <c r="A666" s="318"/>
      <c r="B666" s="318"/>
      <c r="C666" s="581"/>
      <c r="D666" s="668"/>
      <c r="E666" s="408"/>
      <c r="F666" s="409"/>
      <c r="G666" s="400"/>
      <c r="H666" s="401"/>
      <c r="I666" s="400"/>
      <c r="J666" s="407"/>
    </row>
    <row r="667" spans="1:10" x14ac:dyDescent="0.25">
      <c r="A667" s="318"/>
      <c r="B667" s="318"/>
      <c r="C667" s="581"/>
      <c r="D667" s="405" t="s">
        <v>334</v>
      </c>
      <c r="E667" s="408"/>
      <c r="F667" s="409"/>
      <c r="G667" s="406"/>
      <c r="H667" s="407"/>
      <c r="I667" s="407"/>
      <c r="J667" s="407">
        <f>I670</f>
        <v>10000000</v>
      </c>
    </row>
    <row r="668" spans="1:10" x14ac:dyDescent="0.25">
      <c r="A668" s="318"/>
      <c r="B668" s="318"/>
      <c r="C668" s="581"/>
      <c r="D668" s="563" t="s">
        <v>335</v>
      </c>
      <c r="E668" s="408"/>
      <c r="F668" s="409"/>
      <c r="G668" s="406"/>
      <c r="H668" s="407"/>
      <c r="I668" s="407"/>
      <c r="J668" s="407"/>
    </row>
    <row r="669" spans="1:10" x14ac:dyDescent="0.25">
      <c r="A669" s="318"/>
      <c r="B669" s="318"/>
      <c r="C669" s="581"/>
      <c r="D669" s="563"/>
      <c r="E669" s="408"/>
      <c r="F669" s="409"/>
      <c r="G669" s="406"/>
      <c r="H669" s="407"/>
      <c r="I669" s="407"/>
      <c r="J669" s="407"/>
    </row>
    <row r="670" spans="1:10" x14ac:dyDescent="0.25">
      <c r="A670" s="318"/>
      <c r="B670" s="318"/>
      <c r="C670" s="581"/>
      <c r="D670" s="563" t="s">
        <v>336</v>
      </c>
      <c r="E670" s="408" t="s">
        <v>337</v>
      </c>
      <c r="F670" s="409">
        <v>1</v>
      </c>
      <c r="G670" s="411">
        <v>10000000</v>
      </c>
      <c r="H670" s="412">
        <v>1</v>
      </c>
      <c r="I670" s="400">
        <f>F670*G670*H670</f>
        <v>10000000</v>
      </c>
      <c r="J670" s="407"/>
    </row>
    <row r="671" spans="1:10" x14ac:dyDescent="0.25">
      <c r="A671" s="318"/>
      <c r="B671" s="318"/>
      <c r="C671" s="581"/>
      <c r="D671" s="563"/>
      <c r="E671" s="408"/>
      <c r="F671" s="409"/>
      <c r="G671" s="411"/>
      <c r="H671" s="412"/>
      <c r="I671" s="400"/>
      <c r="J671" s="407"/>
    </row>
    <row r="672" spans="1:10" x14ac:dyDescent="0.25">
      <c r="A672" s="318"/>
      <c r="B672" s="318"/>
      <c r="C672" s="581"/>
    </row>
    <row r="673" spans="1:10" x14ac:dyDescent="0.25">
      <c r="A673" s="318"/>
      <c r="B673" s="318"/>
      <c r="C673" s="581"/>
    </row>
    <row r="674" spans="1:10" x14ac:dyDescent="0.25">
      <c r="A674" s="318"/>
      <c r="B674" s="318"/>
      <c r="C674" s="581"/>
      <c r="D674" s="336" t="s">
        <v>442</v>
      </c>
      <c r="E674" s="424"/>
      <c r="F674" s="424"/>
      <c r="G674" s="425"/>
      <c r="H674" s="426"/>
      <c r="I674" s="427"/>
      <c r="J674" s="428"/>
    </row>
    <row r="675" spans="1:10" x14ac:dyDescent="0.25">
      <c r="A675" s="318"/>
      <c r="B675" s="318"/>
      <c r="C675" s="581"/>
      <c r="D675" s="592" t="s">
        <v>343</v>
      </c>
      <c r="E675" s="424"/>
      <c r="F675" s="624" t="s">
        <v>344</v>
      </c>
      <c r="G675" s="625"/>
      <c r="H675" s="625"/>
      <c r="I675" s="625"/>
      <c r="J675" s="626"/>
    </row>
    <row r="676" spans="1:10" x14ac:dyDescent="0.25">
      <c r="A676" s="318"/>
      <c r="B676" s="318"/>
      <c r="C676" s="581"/>
      <c r="D676" s="592"/>
      <c r="E676" s="424"/>
      <c r="F676" s="664"/>
      <c r="G676" s="665"/>
      <c r="H676" s="665"/>
      <c r="I676" s="665"/>
      <c r="J676" s="666"/>
    </row>
    <row r="677" spans="1:10" x14ac:dyDescent="0.25">
      <c r="A677" s="318"/>
      <c r="B677" s="318"/>
      <c r="C677" s="581"/>
      <c r="D677" s="592"/>
      <c r="E677" s="424"/>
      <c r="F677" s="664"/>
      <c r="G677" s="665"/>
      <c r="H677" s="665"/>
      <c r="I677" s="665"/>
      <c r="J677" s="666"/>
    </row>
    <row r="678" spans="1:10" x14ac:dyDescent="0.25">
      <c r="A678" s="318"/>
      <c r="B678" s="318"/>
      <c r="C678" s="581"/>
      <c r="D678" s="592"/>
      <c r="E678" s="424"/>
      <c r="F678" s="664"/>
      <c r="G678" s="665"/>
      <c r="H678" s="665"/>
      <c r="I678" s="665"/>
      <c r="J678" s="666"/>
    </row>
    <row r="679" spans="1:10" x14ac:dyDescent="0.25">
      <c r="A679" s="318"/>
      <c r="B679" s="318"/>
      <c r="C679" s="581"/>
      <c r="D679" s="592"/>
      <c r="E679" s="424"/>
      <c r="F679" s="664"/>
      <c r="G679" s="665"/>
      <c r="H679" s="665"/>
      <c r="I679" s="665"/>
      <c r="J679" s="666"/>
    </row>
    <row r="680" spans="1:10" x14ac:dyDescent="0.25">
      <c r="A680" s="318"/>
      <c r="B680" s="318"/>
      <c r="C680" s="581"/>
      <c r="D680" s="592"/>
      <c r="E680" s="424"/>
      <c r="F680" s="664"/>
      <c r="G680" s="665"/>
      <c r="H680" s="665"/>
      <c r="I680" s="665"/>
      <c r="J680" s="666"/>
    </row>
    <row r="681" spans="1:10" x14ac:dyDescent="0.25">
      <c r="A681" s="318"/>
      <c r="B681" s="318"/>
      <c r="C681" s="581"/>
      <c r="D681" s="592"/>
      <c r="E681" s="424"/>
      <c r="F681" s="664"/>
      <c r="G681" s="665"/>
      <c r="H681" s="665"/>
      <c r="I681" s="665"/>
      <c r="J681" s="666"/>
    </row>
    <row r="682" spans="1:10" x14ac:dyDescent="0.25">
      <c r="A682" s="318"/>
      <c r="B682" s="318"/>
      <c r="C682" s="581"/>
      <c r="D682" s="592"/>
      <c r="E682" s="424"/>
      <c r="F682" s="664"/>
      <c r="G682" s="665"/>
      <c r="H682" s="665"/>
      <c r="I682" s="665"/>
      <c r="J682" s="666"/>
    </row>
    <row r="683" spans="1:10" x14ac:dyDescent="0.25">
      <c r="A683" s="318"/>
      <c r="B683" s="318"/>
      <c r="C683" s="581"/>
      <c r="D683" s="592"/>
      <c r="E683" s="424"/>
      <c r="F683" s="664"/>
      <c r="G683" s="665"/>
      <c r="H683" s="665"/>
      <c r="I683" s="665"/>
      <c r="J683" s="666"/>
    </row>
    <row r="684" spans="1:10" x14ac:dyDescent="0.25">
      <c r="A684" s="318"/>
      <c r="B684" s="318"/>
      <c r="C684" s="581"/>
      <c r="D684" s="592"/>
      <c r="E684" s="424"/>
      <c r="F684" s="664"/>
      <c r="G684" s="665"/>
      <c r="H684" s="665"/>
      <c r="I684" s="665"/>
      <c r="J684" s="666"/>
    </row>
    <row r="685" spans="1:10" x14ac:dyDescent="0.25">
      <c r="A685" s="318"/>
      <c r="B685" s="318"/>
      <c r="C685" s="581"/>
      <c r="D685" s="592"/>
      <c r="E685" s="424"/>
      <c r="F685" s="664"/>
      <c r="G685" s="665"/>
      <c r="H685" s="665"/>
      <c r="I685" s="665"/>
      <c r="J685" s="666"/>
    </row>
    <row r="686" spans="1:10" x14ac:dyDescent="0.25">
      <c r="A686" s="318"/>
      <c r="B686" s="318"/>
      <c r="C686" s="581"/>
      <c r="D686" s="592" t="s">
        <v>345</v>
      </c>
      <c r="E686" s="429"/>
      <c r="F686" s="664"/>
      <c r="G686" s="665"/>
      <c r="H686" s="665"/>
      <c r="I686" s="665"/>
      <c r="J686" s="666"/>
    </row>
    <row r="687" spans="1:10" x14ac:dyDescent="0.25">
      <c r="A687" s="318"/>
      <c r="B687" s="318"/>
      <c r="C687" s="581"/>
      <c r="D687" s="592"/>
      <c r="E687" s="429"/>
      <c r="F687" s="664"/>
      <c r="G687" s="665"/>
      <c r="H687" s="665"/>
      <c r="I687" s="665"/>
      <c r="J687" s="666"/>
    </row>
    <row r="688" spans="1:10" x14ac:dyDescent="0.25">
      <c r="A688" s="318"/>
      <c r="B688" s="318"/>
      <c r="C688" s="581"/>
      <c r="D688" s="592"/>
      <c r="E688" s="429"/>
      <c r="F688" s="664"/>
      <c r="G688" s="665"/>
      <c r="H688" s="665"/>
      <c r="I688" s="665"/>
      <c r="J688" s="666"/>
    </row>
    <row r="689" spans="1:10" x14ac:dyDescent="0.25">
      <c r="A689" s="318"/>
      <c r="B689" s="318"/>
      <c r="C689" s="581"/>
      <c r="D689" s="592"/>
      <c r="E689" s="429"/>
      <c r="F689" s="664"/>
      <c r="G689" s="665"/>
      <c r="H689" s="665"/>
      <c r="I689" s="665"/>
      <c r="J689" s="666"/>
    </row>
    <row r="690" spans="1:10" x14ac:dyDescent="0.25">
      <c r="A690" s="318"/>
      <c r="B690" s="318"/>
      <c r="C690" s="581"/>
      <c r="D690" s="592"/>
      <c r="E690" s="429"/>
      <c r="F690" s="664"/>
      <c r="G690" s="665"/>
      <c r="H690" s="665"/>
      <c r="I690" s="665"/>
      <c r="J690" s="666"/>
    </row>
    <row r="691" spans="1:10" x14ac:dyDescent="0.25">
      <c r="A691" s="318"/>
      <c r="B691" s="318"/>
      <c r="C691" s="581"/>
      <c r="D691" s="592"/>
      <c r="E691" s="429"/>
      <c r="F691" s="664"/>
      <c r="G691" s="665"/>
      <c r="H691" s="665"/>
      <c r="I691" s="665"/>
      <c r="J691" s="666"/>
    </row>
    <row r="692" spans="1:10" x14ac:dyDescent="0.25">
      <c r="A692" s="318"/>
      <c r="B692" s="318"/>
      <c r="C692" s="581"/>
      <c r="D692" s="592"/>
      <c r="E692" s="429"/>
      <c r="F692" s="664"/>
      <c r="G692" s="665"/>
      <c r="H692" s="665"/>
      <c r="I692" s="665"/>
      <c r="J692" s="666"/>
    </row>
    <row r="693" spans="1:10" ht="22.5" customHeight="1" x14ac:dyDescent="0.25">
      <c r="A693" s="318"/>
      <c r="B693" s="318"/>
      <c r="C693" s="581"/>
      <c r="D693" s="592"/>
      <c r="E693" s="429"/>
      <c r="F693" s="664"/>
      <c r="G693" s="665"/>
      <c r="H693" s="665"/>
      <c r="I693" s="665"/>
      <c r="J693" s="666"/>
    </row>
    <row r="694" spans="1:10" x14ac:dyDescent="0.25">
      <c r="A694" s="318"/>
      <c r="B694" s="318"/>
      <c r="C694" s="581"/>
      <c r="D694" s="592"/>
      <c r="E694" s="429"/>
      <c r="F694" s="664"/>
      <c r="G694" s="665"/>
      <c r="H694" s="665"/>
      <c r="I694" s="665"/>
      <c r="J694" s="666"/>
    </row>
    <row r="695" spans="1:10" x14ac:dyDescent="0.25">
      <c r="A695" s="318"/>
      <c r="B695" s="318"/>
      <c r="C695" s="581"/>
      <c r="D695" s="592"/>
      <c r="E695" s="429"/>
      <c r="F695" s="664"/>
      <c r="G695" s="665"/>
      <c r="H695" s="665"/>
      <c r="I695" s="665"/>
      <c r="J695" s="666"/>
    </row>
    <row r="696" spans="1:10" x14ac:dyDescent="0.25">
      <c r="A696" s="318"/>
      <c r="B696" s="318"/>
      <c r="C696" s="581"/>
      <c r="D696" s="592"/>
      <c r="E696" s="429"/>
      <c r="F696" s="664"/>
      <c r="G696" s="665"/>
      <c r="H696" s="665"/>
      <c r="I696" s="665"/>
      <c r="J696" s="666"/>
    </row>
    <row r="697" spans="1:10" x14ac:dyDescent="0.25">
      <c r="A697" s="318"/>
      <c r="B697" s="318"/>
      <c r="C697" s="581"/>
      <c r="D697" s="667" t="s">
        <v>346</v>
      </c>
      <c r="E697" s="430"/>
      <c r="F697" s="664"/>
      <c r="G697" s="665"/>
      <c r="H697" s="665"/>
      <c r="I697" s="665"/>
      <c r="J697" s="666"/>
    </row>
    <row r="698" spans="1:10" x14ac:dyDescent="0.25">
      <c r="A698" s="318"/>
      <c r="B698" s="318"/>
      <c r="C698" s="581"/>
      <c r="D698" s="667"/>
      <c r="E698" s="430"/>
      <c r="F698" s="664"/>
      <c r="G698" s="665"/>
      <c r="H698" s="665"/>
      <c r="I698" s="665"/>
      <c r="J698" s="666"/>
    </row>
    <row r="699" spans="1:10" x14ac:dyDescent="0.25">
      <c r="A699" s="318"/>
      <c r="B699" s="318"/>
      <c r="C699" s="581"/>
      <c r="D699" s="667"/>
      <c r="E699" s="430"/>
      <c r="F699" s="664"/>
      <c r="G699" s="665"/>
      <c r="H699" s="665"/>
      <c r="I699" s="665"/>
      <c r="J699" s="666"/>
    </row>
    <row r="700" spans="1:10" x14ac:dyDescent="0.25">
      <c r="A700" s="318"/>
      <c r="B700" s="318"/>
      <c r="C700" s="581"/>
      <c r="D700" s="667"/>
      <c r="E700" s="430"/>
      <c r="F700" s="664"/>
      <c r="G700" s="665"/>
      <c r="H700" s="665"/>
      <c r="I700" s="665"/>
      <c r="J700" s="666"/>
    </row>
    <row r="701" spans="1:10" x14ac:dyDescent="0.25">
      <c r="A701" s="318"/>
      <c r="B701" s="318"/>
      <c r="C701" s="581"/>
      <c r="D701" s="667"/>
      <c r="E701" s="430"/>
      <c r="F701" s="664"/>
      <c r="G701" s="665"/>
      <c r="H701" s="665"/>
      <c r="I701" s="665"/>
      <c r="J701" s="666"/>
    </row>
    <row r="702" spans="1:10" x14ac:dyDescent="0.25">
      <c r="A702" s="318"/>
      <c r="B702" s="318"/>
      <c r="C702" s="581"/>
      <c r="D702" s="667"/>
      <c r="E702" s="430"/>
      <c r="F702" s="664"/>
      <c r="G702" s="665"/>
      <c r="H702" s="665"/>
      <c r="I702" s="665"/>
      <c r="J702" s="666"/>
    </row>
    <row r="703" spans="1:10" x14ac:dyDescent="0.25">
      <c r="A703" s="318"/>
      <c r="B703" s="318"/>
      <c r="C703" s="581"/>
      <c r="D703" s="667"/>
      <c r="E703" s="430"/>
      <c r="F703" s="627"/>
      <c r="G703" s="628"/>
      <c r="H703" s="628"/>
      <c r="I703" s="628"/>
      <c r="J703" s="629"/>
    </row>
    <row r="704" spans="1:10" x14ac:dyDescent="0.25">
      <c r="A704" s="318"/>
      <c r="B704" s="318"/>
      <c r="C704" s="548"/>
      <c r="D704" s="352" t="s">
        <v>338</v>
      </c>
      <c r="E704" s="413"/>
      <c r="F704" s="414"/>
      <c r="G704" s="415"/>
      <c r="H704" s="416"/>
      <c r="I704" s="417"/>
      <c r="J704" s="418">
        <f>SUM(J247:J670)</f>
        <v>6620570094.3791409</v>
      </c>
    </row>
    <row r="705" spans="1:10" x14ac:dyDescent="0.25">
      <c r="A705" s="318"/>
      <c r="B705" s="318"/>
      <c r="C705" s="548"/>
      <c r="D705" s="528"/>
      <c r="E705" s="413"/>
      <c r="F705" s="414"/>
      <c r="G705" s="415"/>
      <c r="H705" s="416"/>
      <c r="I705" s="699"/>
      <c r="J705" s="418"/>
    </row>
    <row r="706" spans="1:10" s="698" customFormat="1" ht="33" x14ac:dyDescent="0.25">
      <c r="A706" s="690"/>
      <c r="B706" s="690"/>
      <c r="C706" s="549"/>
      <c r="D706" s="702" t="s">
        <v>446</v>
      </c>
      <c r="E706" s="692"/>
      <c r="F706" s="693"/>
      <c r="G706" s="694"/>
      <c r="H706" s="700"/>
      <c r="I706" s="701"/>
      <c r="J706" s="697">
        <f>SUM(I707:I713)</f>
        <v>8000000</v>
      </c>
    </row>
    <row r="707" spans="1:10" x14ac:dyDescent="0.25">
      <c r="A707" s="318"/>
      <c r="B707" s="318"/>
      <c r="C707" s="529"/>
      <c r="D707" s="563" t="s">
        <v>339</v>
      </c>
      <c r="E707" s="310" t="s">
        <v>337</v>
      </c>
      <c r="F707" s="419">
        <v>1</v>
      </c>
      <c r="G707" s="411">
        <v>5000000</v>
      </c>
      <c r="H707" s="412">
        <v>1</v>
      </c>
      <c r="I707" s="400">
        <f>F707*G707*H707</f>
        <v>5000000</v>
      </c>
      <c r="J707" s="407"/>
    </row>
    <row r="708" spans="1:10" x14ac:dyDescent="0.25">
      <c r="A708" s="318"/>
      <c r="B708" s="318"/>
      <c r="C708" s="529"/>
      <c r="D708" s="563"/>
      <c r="E708" s="310"/>
      <c r="F708" s="419"/>
      <c r="G708" s="394"/>
      <c r="H708" s="420"/>
      <c r="I708" s="421"/>
      <c r="J708" s="326"/>
    </row>
    <row r="709" spans="1:10" x14ac:dyDescent="0.25">
      <c r="A709" s="318"/>
      <c r="B709" s="318"/>
      <c r="C709" s="529"/>
      <c r="D709" s="565" t="s">
        <v>340</v>
      </c>
      <c r="E709" s="310"/>
      <c r="F709" s="419"/>
      <c r="G709" s="394"/>
      <c r="H709" s="422"/>
      <c r="I709" s="421"/>
      <c r="J709" s="326"/>
    </row>
    <row r="710" spans="1:10" x14ac:dyDescent="0.25">
      <c r="A710" s="318"/>
      <c r="B710" s="318"/>
      <c r="C710" s="529"/>
      <c r="D710" s="565"/>
      <c r="E710" s="310"/>
      <c r="F710" s="419"/>
      <c r="G710" s="394"/>
      <c r="H710" s="420"/>
      <c r="I710" s="421"/>
      <c r="J710" s="326"/>
    </row>
    <row r="711" spans="1:10" x14ac:dyDescent="0.25">
      <c r="A711" s="318"/>
      <c r="B711" s="318"/>
      <c r="C711" s="529"/>
      <c r="D711" s="563" t="s">
        <v>341</v>
      </c>
      <c r="E711" s="310" t="s">
        <v>337</v>
      </c>
      <c r="F711" s="419">
        <v>1</v>
      </c>
      <c r="G711" s="411">
        <v>3000000</v>
      </c>
      <c r="H711" s="412">
        <v>1</v>
      </c>
      <c r="I711" s="400">
        <f>F711*G711*H711</f>
        <v>3000000</v>
      </c>
      <c r="J711" s="407"/>
    </row>
    <row r="712" spans="1:10" x14ac:dyDescent="0.25">
      <c r="A712" s="318"/>
      <c r="B712" s="318"/>
      <c r="C712" s="529"/>
      <c r="D712" s="563"/>
      <c r="E712" s="310"/>
      <c r="F712" s="419"/>
      <c r="G712" s="394"/>
      <c r="H712" s="420"/>
      <c r="I712" s="421"/>
      <c r="J712" s="326"/>
    </row>
    <row r="713" spans="1:10" x14ac:dyDescent="0.25">
      <c r="A713" s="318"/>
      <c r="B713" s="318"/>
      <c r="C713" s="529"/>
      <c r="D713" s="565" t="s">
        <v>342</v>
      </c>
      <c r="E713" s="310"/>
      <c r="F713" s="419"/>
      <c r="G713" s="394"/>
      <c r="H713" s="422"/>
      <c r="I713" s="421"/>
      <c r="J713" s="326"/>
    </row>
    <row r="714" spans="1:10" s="442" customFormat="1" x14ac:dyDescent="0.25">
      <c r="A714" s="431"/>
      <c r="B714" s="431"/>
      <c r="C714" s="550"/>
      <c r="D714" s="565"/>
      <c r="E714" s="703"/>
      <c r="F714" s="704"/>
      <c r="G714" s="705"/>
      <c r="H714" s="706"/>
      <c r="I714" s="707"/>
      <c r="J714" s="708"/>
    </row>
    <row r="715" spans="1:10" x14ac:dyDescent="0.25">
      <c r="A715" s="538" t="s">
        <v>424</v>
      </c>
      <c r="B715" s="578" t="s">
        <v>378</v>
      </c>
      <c r="C715" s="580" t="s">
        <v>379</v>
      </c>
      <c r="D715" s="539"/>
      <c r="E715" s="297"/>
      <c r="F715" s="298"/>
      <c r="G715" s="299"/>
      <c r="H715" s="299"/>
      <c r="I715" s="453"/>
      <c r="J715" s="397"/>
    </row>
    <row r="716" spans="1:10" x14ac:dyDescent="0.25">
      <c r="A716" s="294"/>
      <c r="B716" s="579"/>
      <c r="C716" s="581"/>
      <c r="D716" s="296" t="s">
        <v>11</v>
      </c>
      <c r="E716" s="297"/>
      <c r="F716" s="298"/>
      <c r="G716" s="299"/>
      <c r="H716" s="299"/>
      <c r="I716" s="490"/>
      <c r="J716" s="302">
        <f>SUM(I736:I764)</f>
        <v>3037040800</v>
      </c>
    </row>
    <row r="717" spans="1:10" x14ac:dyDescent="0.25">
      <c r="A717" s="303"/>
      <c r="B717" s="579"/>
      <c r="C717" s="581"/>
      <c r="D717" s="296" t="s">
        <v>380</v>
      </c>
      <c r="E717" s="304" t="s">
        <v>12</v>
      </c>
      <c r="F717" s="305">
        <v>4262.8</v>
      </c>
      <c r="G717" s="299"/>
      <c r="H717" s="299"/>
      <c r="I717" s="329"/>
      <c r="J717" s="306"/>
    </row>
    <row r="718" spans="1:10" x14ac:dyDescent="0.25">
      <c r="A718" s="303"/>
      <c r="B718" s="579"/>
      <c r="C718" s="581"/>
      <c r="D718" s="307" t="s">
        <v>13</v>
      </c>
      <c r="E718" s="297" t="s">
        <v>12</v>
      </c>
      <c r="F718" s="308">
        <v>3746.6</v>
      </c>
      <c r="G718" s="299"/>
      <c r="H718" s="299"/>
      <c r="I718" s="329"/>
      <c r="J718" s="306"/>
    </row>
    <row r="719" spans="1:10" x14ac:dyDescent="0.25">
      <c r="A719" s="303"/>
      <c r="B719" s="579"/>
      <c r="C719" s="581"/>
      <c r="D719" s="307" t="s">
        <v>14</v>
      </c>
      <c r="E719" s="297" t="s">
        <v>12</v>
      </c>
      <c r="F719" s="308">
        <f>F717-F718</f>
        <v>516.20000000000027</v>
      </c>
      <c r="G719" s="299"/>
      <c r="H719" s="299"/>
      <c r="I719" s="329"/>
      <c r="J719" s="302"/>
    </row>
    <row r="720" spans="1:10" x14ac:dyDescent="0.25">
      <c r="A720" s="303"/>
      <c r="B720" s="579"/>
      <c r="C720" s="581"/>
      <c r="D720" s="307"/>
      <c r="E720" s="297"/>
      <c r="F720" s="298"/>
      <c r="G720" s="299"/>
      <c r="H720" s="299"/>
      <c r="I720" s="329"/>
      <c r="J720" s="302"/>
    </row>
    <row r="721" spans="1:10" ht="16.5" customHeight="1" x14ac:dyDescent="0.25">
      <c r="A721" s="303"/>
      <c r="B721" s="579"/>
      <c r="C721" s="55"/>
      <c r="D721" s="296" t="s">
        <v>160</v>
      </c>
      <c r="E721" s="304" t="s">
        <v>12</v>
      </c>
      <c r="F721" s="305">
        <f>F722+F728</f>
        <v>379</v>
      </c>
      <c r="G721" s="299"/>
      <c r="H721" s="299"/>
      <c r="I721" s="329"/>
      <c r="J721" s="302"/>
    </row>
    <row r="722" spans="1:10" x14ac:dyDescent="0.25">
      <c r="A722" s="303"/>
      <c r="B722" s="579"/>
      <c r="C722" s="55"/>
      <c r="D722" s="582"/>
      <c r="E722" s="310" t="s">
        <v>12</v>
      </c>
      <c r="F722" s="311">
        <v>379</v>
      </c>
      <c r="G722" s="583" t="s">
        <v>437</v>
      </c>
      <c r="H722" s="584"/>
      <c r="I722" s="584"/>
      <c r="J722" s="585"/>
    </row>
    <row r="723" spans="1:10" x14ac:dyDescent="0.25">
      <c r="A723" s="303"/>
      <c r="B723" s="579"/>
      <c r="C723" s="55"/>
      <c r="D723" s="582"/>
      <c r="E723" s="310"/>
      <c r="F723" s="311"/>
      <c r="G723" s="586"/>
      <c r="H723" s="587"/>
      <c r="I723" s="587"/>
      <c r="J723" s="588"/>
    </row>
    <row r="724" spans="1:10" x14ac:dyDescent="0.25">
      <c r="A724" s="303"/>
      <c r="B724" s="579"/>
      <c r="C724" s="55"/>
      <c r="D724" s="491"/>
      <c r="E724" s="310"/>
      <c r="F724" s="311"/>
      <c r="G724" s="586"/>
      <c r="H724" s="587"/>
      <c r="I724" s="587"/>
      <c r="J724" s="588"/>
    </row>
    <row r="725" spans="1:10" x14ac:dyDescent="0.25">
      <c r="A725" s="303"/>
      <c r="B725" s="579"/>
      <c r="C725" s="55"/>
      <c r="D725" s="491"/>
      <c r="E725" s="310"/>
      <c r="F725" s="311"/>
      <c r="G725" s="586"/>
      <c r="H725" s="587"/>
      <c r="I725" s="587"/>
      <c r="J725" s="588"/>
    </row>
    <row r="726" spans="1:10" x14ac:dyDescent="0.25">
      <c r="A726" s="303"/>
      <c r="B726" s="579"/>
      <c r="C726" s="55"/>
      <c r="D726" s="491"/>
      <c r="E726" s="310"/>
      <c r="F726" s="311"/>
      <c r="G726" s="586"/>
      <c r="H726" s="587"/>
      <c r="I726" s="587"/>
      <c r="J726" s="588"/>
    </row>
    <row r="727" spans="1:10" x14ac:dyDescent="0.25">
      <c r="A727" s="303"/>
      <c r="B727" s="579"/>
      <c r="C727" s="55"/>
      <c r="D727" s="491"/>
      <c r="E727" s="310"/>
      <c r="F727" s="311"/>
      <c r="G727" s="589"/>
      <c r="H727" s="590"/>
      <c r="I727" s="590"/>
      <c r="J727" s="591"/>
    </row>
    <row r="728" spans="1:10" x14ac:dyDescent="0.25">
      <c r="A728" s="303"/>
      <c r="B728" s="579"/>
      <c r="C728" s="55"/>
      <c r="D728" s="491"/>
      <c r="E728" s="310"/>
      <c r="F728" s="311"/>
      <c r="G728" s="492"/>
      <c r="H728" s="492"/>
      <c r="I728" s="492"/>
      <c r="J728" s="492"/>
    </row>
    <row r="729" spans="1:10" x14ac:dyDescent="0.25">
      <c r="A729" s="303"/>
      <c r="B729" s="579"/>
      <c r="C729" s="55"/>
      <c r="D729" s="296" t="s">
        <v>58</v>
      </c>
      <c r="E729" s="304" t="s">
        <v>12</v>
      </c>
      <c r="F729" s="305">
        <f>F718-F721</f>
        <v>3367.6</v>
      </c>
      <c r="G729" s="316"/>
      <c r="H729" s="316"/>
      <c r="I729" s="381"/>
      <c r="J729" s="317"/>
    </row>
    <row r="730" spans="1:10" x14ac:dyDescent="0.25">
      <c r="A730" s="303"/>
      <c r="B730" s="579"/>
      <c r="C730" s="55"/>
      <c r="D730" s="592" t="s">
        <v>441</v>
      </c>
      <c r="E730" s="297"/>
      <c r="F730" s="298"/>
      <c r="G730" s="316"/>
      <c r="H730" s="316"/>
      <c r="I730" s="381"/>
      <c r="J730" s="317"/>
    </row>
    <row r="731" spans="1:10" x14ac:dyDescent="0.25">
      <c r="A731" s="303"/>
      <c r="B731" s="579"/>
      <c r="C731" s="55"/>
      <c r="D731" s="592"/>
      <c r="E731" s="297"/>
      <c r="F731" s="298"/>
      <c r="G731" s="316"/>
      <c r="H731" s="316"/>
      <c r="I731" s="381"/>
      <c r="J731" s="317"/>
    </row>
    <row r="732" spans="1:10" x14ac:dyDescent="0.25">
      <c r="A732" s="303"/>
      <c r="B732" s="579"/>
      <c r="C732" s="55"/>
      <c r="D732" s="592"/>
      <c r="E732" s="297"/>
      <c r="F732" s="298"/>
      <c r="G732" s="316"/>
      <c r="H732" s="316"/>
      <c r="I732" s="381"/>
      <c r="J732" s="317"/>
    </row>
    <row r="733" spans="1:10" x14ac:dyDescent="0.25">
      <c r="A733" s="303"/>
      <c r="B733" s="579"/>
      <c r="C733" s="55"/>
      <c r="D733" s="592"/>
      <c r="E733" s="318"/>
      <c r="F733" s="318"/>
      <c r="G733" s="318"/>
      <c r="H733" s="318"/>
      <c r="I733" s="493"/>
      <c r="J733" s="318"/>
    </row>
    <row r="734" spans="1:10" x14ac:dyDescent="0.25">
      <c r="A734" s="303"/>
      <c r="B734" s="579"/>
      <c r="C734" s="55"/>
      <c r="D734" s="592"/>
      <c r="E734" s="318"/>
      <c r="F734" s="318"/>
      <c r="G734" s="318"/>
      <c r="H734" s="318"/>
      <c r="I734" s="493"/>
      <c r="J734" s="318"/>
    </row>
    <row r="735" spans="1:10" x14ac:dyDescent="0.25">
      <c r="A735" s="303"/>
      <c r="B735" s="579"/>
      <c r="C735" s="55"/>
      <c r="D735" s="592"/>
      <c r="E735" s="318"/>
      <c r="F735" s="318"/>
      <c r="G735" s="318"/>
      <c r="H735" s="318"/>
      <c r="I735" s="493"/>
      <c r="J735" s="318"/>
    </row>
    <row r="736" spans="1:10" x14ac:dyDescent="0.25">
      <c r="A736" s="303"/>
      <c r="B736" s="579"/>
      <c r="C736" s="55"/>
      <c r="D736" s="592"/>
      <c r="E736" s="318"/>
      <c r="F736" s="318"/>
      <c r="G736" s="318"/>
      <c r="H736" s="318"/>
      <c r="I736" s="493"/>
      <c r="J736" s="318"/>
    </row>
    <row r="737" spans="1:10" x14ac:dyDescent="0.25">
      <c r="A737" s="303"/>
      <c r="B737" s="579"/>
      <c r="C737" s="55"/>
      <c r="D737" s="592"/>
      <c r="E737" s="318"/>
      <c r="F737" s="318"/>
      <c r="G737" s="318"/>
      <c r="H737" s="318"/>
      <c r="I737" s="493"/>
      <c r="J737" s="318"/>
    </row>
    <row r="738" spans="1:10" x14ac:dyDescent="0.25">
      <c r="A738" s="303"/>
      <c r="B738" s="579"/>
      <c r="C738" s="55"/>
      <c r="D738" s="592"/>
      <c r="E738" s="318"/>
      <c r="F738" s="318"/>
      <c r="G738" s="318"/>
      <c r="H738" s="318"/>
      <c r="I738" s="493"/>
      <c r="J738" s="318"/>
    </row>
    <row r="739" spans="1:10" x14ac:dyDescent="0.25">
      <c r="A739" s="303"/>
      <c r="B739" s="579"/>
      <c r="C739" s="55"/>
      <c r="D739" s="592"/>
      <c r="E739" s="318"/>
      <c r="F739" s="318"/>
      <c r="G739" s="318"/>
      <c r="H739" s="318"/>
      <c r="I739" s="493"/>
      <c r="J739" s="318"/>
    </row>
    <row r="740" spans="1:10" x14ac:dyDescent="0.25">
      <c r="A740" s="303"/>
      <c r="B740" s="579"/>
      <c r="C740" s="55"/>
      <c r="D740" s="592"/>
      <c r="E740" s="318"/>
      <c r="F740" s="318"/>
      <c r="G740" s="318"/>
      <c r="H740" s="318"/>
      <c r="I740" s="493"/>
      <c r="J740" s="318"/>
    </row>
    <row r="741" spans="1:10" x14ac:dyDescent="0.25">
      <c r="A741" s="303"/>
      <c r="B741" s="579"/>
      <c r="C741" s="55"/>
      <c r="D741" s="592" t="s">
        <v>423</v>
      </c>
      <c r="E741" s="318"/>
      <c r="F741" s="318"/>
      <c r="G741" s="318"/>
      <c r="H741" s="318"/>
      <c r="I741" s="493"/>
      <c r="J741" s="318"/>
    </row>
    <row r="742" spans="1:10" x14ac:dyDescent="0.25">
      <c r="A742" s="303"/>
      <c r="B742" s="579"/>
      <c r="C742" s="55"/>
      <c r="D742" s="592"/>
      <c r="E742" s="318"/>
      <c r="F742" s="318"/>
      <c r="G742" s="318"/>
      <c r="H742" s="318"/>
      <c r="I742" s="493"/>
      <c r="J742" s="318"/>
    </row>
    <row r="743" spans="1:10" x14ac:dyDescent="0.25">
      <c r="A743" s="303"/>
      <c r="B743" s="579"/>
      <c r="C743" s="55"/>
      <c r="D743" s="592"/>
      <c r="E743" s="318"/>
      <c r="F743" s="318"/>
      <c r="G743" s="318"/>
      <c r="H743" s="318"/>
      <c r="I743" s="493"/>
      <c r="J743" s="318"/>
    </row>
    <row r="744" spans="1:10" x14ac:dyDescent="0.25">
      <c r="A744" s="303"/>
      <c r="B744" s="579"/>
      <c r="C744" s="55"/>
      <c r="D744" s="592"/>
      <c r="E744" s="318"/>
      <c r="F744" s="318"/>
      <c r="G744" s="318"/>
      <c r="H744" s="318"/>
      <c r="I744" s="493"/>
      <c r="J744" s="318"/>
    </row>
    <row r="745" spans="1:10" x14ac:dyDescent="0.25">
      <c r="A745" s="303"/>
      <c r="B745" s="579"/>
      <c r="C745" s="55"/>
      <c r="D745" s="592"/>
      <c r="E745" s="318"/>
      <c r="F745" s="318"/>
      <c r="G745" s="318"/>
      <c r="H745" s="318"/>
      <c r="I745" s="493"/>
      <c r="J745" s="318"/>
    </row>
    <row r="746" spans="1:10" x14ac:dyDescent="0.25">
      <c r="A746" s="303"/>
      <c r="B746" s="579"/>
      <c r="C746" s="55"/>
      <c r="D746" s="592"/>
      <c r="E746" s="318"/>
      <c r="F746" s="318"/>
      <c r="G746" s="318"/>
      <c r="H746" s="318"/>
      <c r="I746" s="493"/>
      <c r="J746" s="318"/>
    </row>
    <row r="747" spans="1:10" x14ac:dyDescent="0.25">
      <c r="A747" s="303"/>
      <c r="B747" s="579"/>
      <c r="C747" s="55"/>
      <c r="D747" s="592"/>
      <c r="E747" s="318"/>
      <c r="F747" s="318"/>
      <c r="G747" s="318"/>
      <c r="H747" s="318"/>
      <c r="I747" s="493"/>
      <c r="J747" s="318"/>
    </row>
    <row r="748" spans="1:10" x14ac:dyDescent="0.25">
      <c r="A748" s="303"/>
      <c r="B748" s="579"/>
      <c r="C748" s="55"/>
      <c r="D748" s="494" t="s">
        <v>163</v>
      </c>
      <c r="E748" s="321" t="s">
        <v>12</v>
      </c>
      <c r="F748" s="322">
        <v>250</v>
      </c>
      <c r="G748" s="323">
        <f>3349000-653400</f>
        <v>2695600</v>
      </c>
      <c r="H748" s="495">
        <v>1</v>
      </c>
      <c r="I748" s="325">
        <f>F748*G748*H748</f>
        <v>673900000</v>
      </c>
      <c r="J748" s="326"/>
    </row>
    <row r="749" spans="1:10" x14ac:dyDescent="0.25">
      <c r="A749" s="303"/>
      <c r="B749" s="579"/>
      <c r="C749" s="55"/>
      <c r="D749" s="593" t="s">
        <v>164</v>
      </c>
      <c r="E749" s="321"/>
      <c r="F749" s="322"/>
      <c r="G749" s="323"/>
      <c r="H749" s="495"/>
      <c r="I749" s="325"/>
      <c r="J749" s="326"/>
    </row>
    <row r="750" spans="1:10" x14ac:dyDescent="0.25">
      <c r="A750" s="303"/>
      <c r="B750" s="319"/>
      <c r="C750" s="55"/>
      <c r="D750" s="593"/>
      <c r="E750" s="321"/>
      <c r="F750" s="322"/>
      <c r="G750" s="323"/>
      <c r="H750" s="495"/>
      <c r="I750" s="325"/>
      <c r="J750" s="326"/>
    </row>
    <row r="751" spans="1:10" x14ac:dyDescent="0.25">
      <c r="A751" s="303"/>
      <c r="B751" s="319"/>
      <c r="C751" s="55"/>
      <c r="D751" s="593" t="s">
        <v>165</v>
      </c>
      <c r="E751" s="321"/>
      <c r="F751" s="322"/>
      <c r="G751" s="323"/>
      <c r="H751" s="495"/>
      <c r="I751" s="325"/>
      <c r="J751" s="326"/>
    </row>
    <row r="752" spans="1:10" x14ac:dyDescent="0.25">
      <c r="A752" s="303"/>
      <c r="B752" s="319"/>
      <c r="C752" s="55"/>
      <c r="D752" s="593"/>
      <c r="E752" s="321"/>
      <c r="F752" s="322"/>
      <c r="G752" s="323"/>
      <c r="H752" s="495"/>
      <c r="I752" s="325"/>
      <c r="J752" s="326"/>
    </row>
    <row r="753" spans="1:10" x14ac:dyDescent="0.25">
      <c r="A753" s="303"/>
      <c r="B753" s="319"/>
      <c r="C753" s="55"/>
      <c r="D753" s="593"/>
      <c r="E753" s="321"/>
      <c r="F753" s="322"/>
      <c r="G753" s="323"/>
      <c r="H753" s="495"/>
      <c r="I753" s="325"/>
      <c r="J753" s="326"/>
    </row>
    <row r="754" spans="1:10" x14ac:dyDescent="0.25">
      <c r="A754" s="303"/>
      <c r="B754" s="319"/>
      <c r="C754" s="55"/>
      <c r="D754" s="593"/>
      <c r="E754" s="321"/>
      <c r="F754" s="322"/>
      <c r="G754" s="323"/>
      <c r="H754" s="495"/>
      <c r="I754" s="325"/>
      <c r="J754" s="326"/>
    </row>
    <row r="755" spans="1:10" x14ac:dyDescent="0.25">
      <c r="A755" s="303"/>
      <c r="B755" s="319"/>
      <c r="C755" s="55"/>
      <c r="D755" s="593"/>
      <c r="E755" s="321"/>
      <c r="F755" s="322"/>
      <c r="G755" s="323"/>
      <c r="H755" s="495"/>
      <c r="I755" s="325"/>
      <c r="J755" s="326"/>
    </row>
    <row r="756" spans="1:10" x14ac:dyDescent="0.25">
      <c r="A756" s="303"/>
      <c r="B756" s="319"/>
      <c r="C756" s="55"/>
      <c r="D756" s="593"/>
      <c r="E756" s="321"/>
      <c r="F756" s="322"/>
      <c r="G756" s="323"/>
      <c r="H756" s="495"/>
      <c r="I756" s="325"/>
      <c r="J756" s="326"/>
    </row>
    <row r="757" spans="1:10" x14ac:dyDescent="0.25">
      <c r="A757" s="303"/>
      <c r="B757" s="319"/>
      <c r="C757" s="55"/>
      <c r="D757" s="593"/>
      <c r="E757" s="321"/>
      <c r="F757" s="322"/>
      <c r="G757" s="323"/>
      <c r="H757" s="495"/>
      <c r="I757" s="325"/>
      <c r="J757" s="326"/>
    </row>
    <row r="758" spans="1:10" x14ac:dyDescent="0.25">
      <c r="A758" s="303"/>
      <c r="B758" s="319"/>
      <c r="C758" s="55"/>
      <c r="D758" s="593"/>
      <c r="E758" s="321"/>
      <c r="F758" s="322"/>
      <c r="G758" s="323"/>
      <c r="H758" s="495"/>
      <c r="I758" s="325"/>
      <c r="J758" s="326"/>
    </row>
    <row r="759" spans="1:10" x14ac:dyDescent="0.25">
      <c r="A759" s="303"/>
      <c r="B759" s="319"/>
      <c r="C759" s="55"/>
      <c r="D759" s="593"/>
      <c r="E759" s="321"/>
      <c r="F759" s="322"/>
      <c r="G759" s="323"/>
      <c r="H759" s="495"/>
      <c r="I759" s="325"/>
      <c r="J759" s="326"/>
    </row>
    <row r="760" spans="1:10" x14ac:dyDescent="0.25">
      <c r="A760" s="303"/>
      <c r="B760" s="319"/>
      <c r="C760" s="55"/>
      <c r="D760" s="593" t="s">
        <v>444</v>
      </c>
      <c r="E760" s="321"/>
      <c r="F760" s="322"/>
      <c r="G760" s="496"/>
      <c r="H760" s="495"/>
      <c r="I760" s="325"/>
      <c r="J760" s="326"/>
    </row>
    <row r="761" spans="1:10" x14ac:dyDescent="0.25">
      <c r="A761" s="303"/>
      <c r="B761" s="319"/>
      <c r="C761" s="55"/>
      <c r="D761" s="593"/>
      <c r="E761" s="318"/>
      <c r="F761" s="318"/>
      <c r="G761" s="318"/>
      <c r="H761" s="318"/>
      <c r="I761" s="493"/>
      <c r="J761" s="318"/>
    </row>
    <row r="762" spans="1:10" ht="17.25" x14ac:dyDescent="0.25">
      <c r="A762" s="303"/>
      <c r="B762" s="319"/>
      <c r="C762" s="55"/>
      <c r="D762" s="328" t="s">
        <v>67</v>
      </c>
      <c r="E762" s="297" t="s">
        <v>12</v>
      </c>
      <c r="F762" s="14">
        <f>F729-F748</f>
        <v>3117.6</v>
      </c>
      <c r="G762" s="329">
        <v>758000</v>
      </c>
      <c r="H762" s="463">
        <v>1</v>
      </c>
      <c r="I762" s="329">
        <f>H762*G762*F762</f>
        <v>2363140800</v>
      </c>
      <c r="J762" s="318"/>
    </row>
    <row r="763" spans="1:10" x14ac:dyDescent="0.25">
      <c r="A763" s="303"/>
      <c r="B763" s="319"/>
      <c r="C763" s="55"/>
      <c r="D763" s="592" t="s">
        <v>367</v>
      </c>
      <c r="E763" s="297"/>
      <c r="F763" s="318"/>
      <c r="G763" s="318"/>
      <c r="H763" s="318"/>
      <c r="I763" s="493"/>
      <c r="J763" s="318"/>
    </row>
    <row r="764" spans="1:10" x14ac:dyDescent="0.25">
      <c r="A764" s="303"/>
      <c r="B764" s="319"/>
      <c r="C764" s="55"/>
      <c r="D764" s="592"/>
      <c r="E764" s="318"/>
      <c r="F764" s="318"/>
      <c r="G764" s="318"/>
      <c r="H764" s="318"/>
      <c r="I764" s="493"/>
      <c r="J764" s="318"/>
    </row>
    <row r="765" spans="1:10" x14ac:dyDescent="0.25">
      <c r="A765" s="303"/>
      <c r="B765" s="319"/>
      <c r="C765" s="55"/>
      <c r="D765" s="295" t="s">
        <v>381</v>
      </c>
      <c r="E765" s="318"/>
      <c r="F765" s="318"/>
      <c r="G765" s="594" t="s">
        <v>70</v>
      </c>
      <c r="H765" s="594"/>
      <c r="I765" s="594"/>
      <c r="J765" s="594"/>
    </row>
    <row r="766" spans="1:10" x14ac:dyDescent="0.25">
      <c r="A766" s="303"/>
      <c r="B766" s="319"/>
      <c r="C766" s="55"/>
      <c r="D766" s="331" t="s">
        <v>382</v>
      </c>
      <c r="E766" s="297"/>
      <c r="F766" s="447"/>
      <c r="G766" s="594"/>
      <c r="H766" s="594"/>
      <c r="I766" s="594"/>
      <c r="J766" s="594"/>
    </row>
    <row r="767" spans="1:10" ht="21" customHeight="1" x14ac:dyDescent="0.25">
      <c r="A767" s="303"/>
      <c r="B767" s="319"/>
      <c r="C767" s="55"/>
      <c r="D767" s="444"/>
      <c r="E767" s="297"/>
      <c r="F767" s="447"/>
      <c r="G767" s="546"/>
      <c r="H767" s="546"/>
      <c r="I767" s="546"/>
      <c r="J767" s="546"/>
    </row>
    <row r="768" spans="1:10" ht="23.25" customHeight="1" x14ac:dyDescent="0.25">
      <c r="A768" s="303"/>
      <c r="B768" s="319"/>
      <c r="C768" s="55"/>
      <c r="E768" s="297"/>
      <c r="F768" s="298"/>
    </row>
    <row r="769" spans="1:10" x14ac:dyDescent="0.25">
      <c r="A769" s="303"/>
      <c r="B769" s="332"/>
      <c r="C769" s="55"/>
      <c r="D769" s="296" t="s">
        <v>15</v>
      </c>
      <c r="E769" s="297"/>
      <c r="F769" s="298"/>
      <c r="G769" s="299"/>
      <c r="H769" s="299"/>
      <c r="I769" s="490"/>
      <c r="J769" s="302">
        <f>I770+I821</f>
        <v>602076594.58640003</v>
      </c>
    </row>
    <row r="770" spans="1:10" x14ac:dyDescent="0.25">
      <c r="A770" s="303"/>
      <c r="B770" s="332"/>
      <c r="C770" s="55"/>
      <c r="D770" s="296" t="s">
        <v>16</v>
      </c>
      <c r="E770" s="297"/>
      <c r="F770" s="298"/>
      <c r="G770" s="299"/>
      <c r="H770" s="299"/>
      <c r="I770" s="497">
        <f>SUM(I780:I818)</f>
        <v>587833594.58640003</v>
      </c>
      <c r="J770" s="306"/>
    </row>
    <row r="771" spans="1:10" x14ac:dyDescent="0.25">
      <c r="A771" s="303"/>
      <c r="B771" s="332"/>
      <c r="C771" s="55"/>
      <c r="D771" s="592" t="s">
        <v>383</v>
      </c>
      <c r="E771" s="297"/>
      <c r="F771" s="298"/>
      <c r="G771" s="316"/>
      <c r="H771" s="316"/>
      <c r="I771" s="381"/>
      <c r="J771" s="317"/>
    </row>
    <row r="772" spans="1:10" ht="32.25" customHeight="1" x14ac:dyDescent="0.25">
      <c r="A772" s="303"/>
      <c r="B772" s="332"/>
      <c r="C772" s="55"/>
      <c r="D772" s="592"/>
      <c r="E772" s="297"/>
      <c r="F772" s="298"/>
      <c r="G772" s="316"/>
      <c r="H772" s="316"/>
      <c r="I772" s="381"/>
      <c r="J772" s="317"/>
    </row>
    <row r="773" spans="1:10" ht="30" customHeight="1" x14ac:dyDescent="0.25">
      <c r="A773" s="303"/>
      <c r="B773" s="332"/>
      <c r="C773" s="55"/>
      <c r="D773" s="592"/>
      <c r="E773" s="297"/>
      <c r="F773" s="298"/>
      <c r="G773" s="316"/>
      <c r="H773" s="316"/>
      <c r="I773" s="381"/>
      <c r="J773" s="317"/>
    </row>
    <row r="774" spans="1:10" ht="25.5" customHeight="1" x14ac:dyDescent="0.25">
      <c r="A774" s="303"/>
      <c r="B774" s="332"/>
      <c r="C774" s="55"/>
      <c r="D774" s="592"/>
      <c r="E774" s="297"/>
      <c r="F774" s="298"/>
      <c r="G774" s="316"/>
      <c r="H774" s="316"/>
      <c r="I774" s="381"/>
      <c r="J774" s="317"/>
    </row>
    <row r="775" spans="1:10" x14ac:dyDescent="0.25">
      <c r="A775" s="303"/>
      <c r="B775" s="332"/>
      <c r="C775" s="55"/>
      <c r="D775" s="592" t="s">
        <v>168</v>
      </c>
      <c r="E775" s="318"/>
      <c r="F775" s="318"/>
      <c r="G775" s="318"/>
      <c r="H775" s="318"/>
      <c r="I775" s="493"/>
      <c r="J775" s="318"/>
    </row>
    <row r="776" spans="1:10" x14ac:dyDescent="0.25">
      <c r="A776" s="303"/>
      <c r="B776" s="332"/>
      <c r="C776" s="55"/>
      <c r="D776" s="592"/>
      <c r="E776" s="334"/>
      <c r="F776" s="334"/>
      <c r="G776" s="334"/>
      <c r="H776" s="334"/>
      <c r="I776" s="455"/>
      <c r="J776" s="334"/>
    </row>
    <row r="777" spans="1:10" x14ac:dyDescent="0.25">
      <c r="A777" s="303"/>
      <c r="B777" s="332"/>
      <c r="C777" s="55"/>
      <c r="D777" s="592"/>
      <c r="E777" s="334"/>
      <c r="F777" s="334"/>
      <c r="G777" s="334"/>
      <c r="H777" s="334"/>
      <c r="I777" s="455"/>
      <c r="J777" s="334"/>
    </row>
    <row r="778" spans="1:10" x14ac:dyDescent="0.25">
      <c r="A778" s="303"/>
      <c r="B778" s="332"/>
      <c r="C778" s="55"/>
      <c r="D778" s="592"/>
      <c r="E778" s="334"/>
      <c r="F778" s="334"/>
      <c r="G778" s="334"/>
      <c r="H778" s="334"/>
      <c r="I778" s="455"/>
      <c r="J778" s="334"/>
    </row>
    <row r="779" spans="1:10" x14ac:dyDescent="0.25">
      <c r="A779" s="303"/>
      <c r="B779" s="332"/>
      <c r="C779" s="55"/>
      <c r="D779" s="592"/>
      <c r="E779" s="334"/>
      <c r="F779" s="334"/>
      <c r="G779" s="334"/>
      <c r="H779" s="334"/>
      <c r="I779" s="455"/>
      <c r="J779" s="334"/>
    </row>
    <row r="780" spans="1:10" x14ac:dyDescent="0.25">
      <c r="A780" s="303"/>
      <c r="B780" s="332"/>
      <c r="C780" s="55"/>
      <c r="D780" s="595" t="s">
        <v>384</v>
      </c>
      <c r="E780" s="297" t="s">
        <v>120</v>
      </c>
      <c r="F780" s="498">
        <v>71.2</v>
      </c>
      <c r="G780" s="299">
        <f>(3958967*(1.12+0.15))+481600</f>
        <v>5509488.0899999999</v>
      </c>
      <c r="H780" s="463">
        <v>0.8</v>
      </c>
      <c r="I780" s="329">
        <f>F780*G780*H780</f>
        <v>313820441.60640001</v>
      </c>
      <c r="J780" s="318"/>
    </row>
    <row r="781" spans="1:10" x14ac:dyDescent="0.25">
      <c r="A781" s="303"/>
      <c r="B781" s="332"/>
      <c r="C781" s="55"/>
      <c r="D781" s="595"/>
      <c r="E781" s="297"/>
      <c r="F781" s="298"/>
      <c r="G781" s="299"/>
      <c r="H781" s="463"/>
      <c r="I781" s="329"/>
      <c r="J781" s="336"/>
    </row>
    <row r="782" spans="1:10" x14ac:dyDescent="0.25">
      <c r="A782" s="303"/>
      <c r="B782" s="332"/>
      <c r="C782" s="55"/>
      <c r="D782" s="595"/>
      <c r="E782" s="297"/>
      <c r="F782" s="298"/>
      <c r="G782" s="299"/>
      <c r="H782" s="463"/>
      <c r="I782" s="329"/>
      <c r="J782" s="336"/>
    </row>
    <row r="783" spans="1:10" x14ac:dyDescent="0.25">
      <c r="A783" s="303"/>
      <c r="B783" s="332"/>
      <c r="C783" s="55"/>
      <c r="D783" s="595"/>
      <c r="E783" s="297"/>
      <c r="F783" s="298"/>
      <c r="G783" s="360"/>
      <c r="H783" s="360"/>
      <c r="I783" s="458"/>
      <c r="J783" s="336"/>
    </row>
    <row r="784" spans="1:10" x14ac:dyDescent="0.25">
      <c r="A784" s="303"/>
      <c r="B784" s="332"/>
      <c r="C784" s="55"/>
      <c r="D784" s="596" t="s">
        <v>385</v>
      </c>
      <c r="E784" s="297"/>
      <c r="F784" s="298"/>
      <c r="G784" s="299"/>
      <c r="H784" s="463"/>
      <c r="I784" s="329"/>
      <c r="J784" s="336"/>
    </row>
    <row r="785" spans="1:10" x14ac:dyDescent="0.25">
      <c r="A785" s="303"/>
      <c r="B785" s="332"/>
      <c r="C785" s="55"/>
      <c r="D785" s="596"/>
      <c r="E785" s="318"/>
      <c r="F785" s="318"/>
      <c r="G785" s="318"/>
      <c r="H785" s="318"/>
      <c r="I785" s="493"/>
      <c r="J785" s="318"/>
    </row>
    <row r="786" spans="1:10" x14ac:dyDescent="0.25">
      <c r="A786" s="303"/>
      <c r="B786" s="332"/>
      <c r="C786" s="55"/>
      <c r="D786" s="596"/>
      <c r="E786" s="297"/>
      <c r="F786" s="298"/>
      <c r="G786" s="299"/>
      <c r="H786" s="463"/>
      <c r="I786" s="329"/>
      <c r="J786" s="336"/>
    </row>
    <row r="787" spans="1:10" x14ac:dyDescent="0.25">
      <c r="A787" s="303"/>
      <c r="B787" s="332"/>
      <c r="C787" s="55"/>
      <c r="D787" s="596"/>
      <c r="E787" s="297"/>
      <c r="F787" s="298"/>
      <c r="G787" s="299"/>
      <c r="H787" s="463"/>
      <c r="I787" s="329"/>
      <c r="J787" s="336"/>
    </row>
    <row r="788" spans="1:10" x14ac:dyDescent="0.25">
      <c r="A788" s="303"/>
      <c r="B788" s="332"/>
      <c r="C788" s="55"/>
      <c r="D788" s="596"/>
      <c r="E788" s="297"/>
      <c r="F788" s="298"/>
      <c r="G788" s="299"/>
      <c r="H788" s="463"/>
      <c r="I788" s="329"/>
      <c r="J788" s="336"/>
    </row>
    <row r="789" spans="1:10" x14ac:dyDescent="0.25">
      <c r="A789" s="303"/>
      <c r="B789" s="332"/>
      <c r="C789" s="55"/>
      <c r="D789" s="596"/>
      <c r="E789" s="297"/>
      <c r="F789" s="298"/>
      <c r="G789" s="299"/>
      <c r="H789" s="463"/>
      <c r="I789" s="329"/>
      <c r="J789" s="336"/>
    </row>
    <row r="790" spans="1:10" x14ac:dyDescent="0.25">
      <c r="A790" s="303"/>
      <c r="B790" s="332"/>
      <c r="C790" s="55"/>
      <c r="D790" s="596"/>
      <c r="E790" s="297"/>
      <c r="F790" s="298"/>
      <c r="G790" s="299"/>
      <c r="H790" s="463"/>
      <c r="I790" s="329"/>
      <c r="J790" s="336"/>
    </row>
    <row r="791" spans="1:10" x14ac:dyDescent="0.25">
      <c r="A791" s="303"/>
      <c r="B791" s="332"/>
      <c r="C791" s="55"/>
      <c r="D791" s="596"/>
      <c r="E791" s="597"/>
      <c r="F791" s="299"/>
      <c r="G791" s="299"/>
      <c r="H791" s="474"/>
      <c r="I791" s="329"/>
      <c r="J791" s="336"/>
    </row>
    <row r="792" spans="1:10" x14ac:dyDescent="0.25">
      <c r="A792" s="303"/>
      <c r="B792" s="332"/>
      <c r="C792" s="55"/>
      <c r="D792" s="596"/>
      <c r="E792" s="597"/>
      <c r="F792" s="318"/>
      <c r="G792" s="318"/>
      <c r="H792" s="318"/>
      <c r="I792" s="493"/>
      <c r="J792" s="336"/>
    </row>
    <row r="793" spans="1:10" x14ac:dyDescent="0.25">
      <c r="A793" s="303"/>
      <c r="B793" s="332"/>
      <c r="C793" s="55"/>
      <c r="D793" s="565" t="s">
        <v>386</v>
      </c>
      <c r="E793" s="429" t="s">
        <v>120</v>
      </c>
      <c r="F793" s="498">
        <v>114.1</v>
      </c>
      <c r="G793" s="299">
        <v>1259097</v>
      </c>
      <c r="H793" s="463">
        <v>0.8</v>
      </c>
      <c r="I793" s="329">
        <f>F793*G793*H793</f>
        <v>114930374.16</v>
      </c>
      <c r="J793" s="336"/>
    </row>
    <row r="794" spans="1:10" x14ac:dyDescent="0.25">
      <c r="A794" s="303"/>
      <c r="B794" s="332"/>
      <c r="C794" s="55"/>
      <c r="D794" s="565"/>
      <c r="E794" s="429"/>
      <c r="F794" s="298"/>
      <c r="G794" s="299"/>
      <c r="H794" s="463"/>
      <c r="I794" s="329"/>
      <c r="J794" s="336"/>
    </row>
    <row r="795" spans="1:10" x14ac:dyDescent="0.25">
      <c r="A795" s="303"/>
      <c r="B795" s="332"/>
      <c r="C795" s="55"/>
      <c r="D795" s="598" t="s">
        <v>387</v>
      </c>
      <c r="E795" s="500"/>
      <c r="F795" s="298"/>
      <c r="G795" s="501"/>
      <c r="H795" s="413"/>
      <c r="I795" s="502"/>
      <c r="J795" s="336"/>
    </row>
    <row r="796" spans="1:10" x14ac:dyDescent="0.25">
      <c r="A796" s="303"/>
      <c r="B796" s="332"/>
      <c r="C796" s="55"/>
      <c r="D796" s="598"/>
      <c r="E796" s="500"/>
      <c r="F796" s="298"/>
      <c r="G796" s="501"/>
      <c r="H796" s="413"/>
      <c r="I796" s="502"/>
      <c r="J796" s="336"/>
    </row>
    <row r="797" spans="1:10" x14ac:dyDescent="0.25">
      <c r="A797" s="303"/>
      <c r="B797" s="332"/>
      <c r="C797" s="55"/>
      <c r="D797" s="599" t="s">
        <v>388</v>
      </c>
      <c r="E797" s="429" t="s">
        <v>145</v>
      </c>
      <c r="F797" s="498">
        <v>5.2</v>
      </c>
      <c r="G797" s="299">
        <v>3855960</v>
      </c>
      <c r="H797" s="463">
        <v>1</v>
      </c>
      <c r="I797" s="329">
        <f>F797*G797*H797</f>
        <v>20050992</v>
      </c>
      <c r="J797" s="336"/>
    </row>
    <row r="798" spans="1:10" x14ac:dyDescent="0.25">
      <c r="A798" s="303"/>
      <c r="B798" s="332"/>
      <c r="C798" s="55"/>
      <c r="D798" s="599"/>
      <c r="E798" s="500"/>
      <c r="F798" s="298"/>
      <c r="G798" s="501"/>
      <c r="H798" s="413"/>
      <c r="I798" s="502"/>
      <c r="J798" s="336"/>
    </row>
    <row r="799" spans="1:10" x14ac:dyDescent="0.25">
      <c r="A799" s="303"/>
      <c r="B799" s="332"/>
      <c r="C799" s="55"/>
      <c r="D799" s="598" t="s">
        <v>389</v>
      </c>
      <c r="E799" s="500"/>
      <c r="F799" s="298"/>
      <c r="G799" s="501"/>
      <c r="H799" s="413"/>
      <c r="I799" s="502"/>
      <c r="J799" s="336"/>
    </row>
    <row r="800" spans="1:10" x14ac:dyDescent="0.25">
      <c r="A800" s="303"/>
      <c r="B800" s="332"/>
      <c r="C800" s="55"/>
      <c r="D800" s="598"/>
      <c r="E800" s="500"/>
      <c r="F800" s="298"/>
      <c r="G800" s="501"/>
      <c r="H800" s="413"/>
      <c r="I800" s="502"/>
      <c r="J800" s="336"/>
    </row>
    <row r="801" spans="1:10" x14ac:dyDescent="0.25">
      <c r="A801" s="303"/>
      <c r="B801" s="332"/>
      <c r="C801" s="55"/>
      <c r="D801" s="598"/>
      <c r="E801" s="500"/>
      <c r="F801" s="298"/>
      <c r="G801" s="501"/>
      <c r="H801" s="413"/>
      <c r="I801" s="502"/>
      <c r="J801" s="336"/>
    </row>
    <row r="802" spans="1:10" x14ac:dyDescent="0.25">
      <c r="A802" s="303"/>
      <c r="B802" s="332"/>
      <c r="C802" s="55"/>
      <c r="D802" s="600" t="s">
        <v>390</v>
      </c>
      <c r="E802" s="500" t="s">
        <v>145</v>
      </c>
      <c r="F802" s="498">
        <v>26</v>
      </c>
      <c r="G802" s="299">
        <v>1340561</v>
      </c>
      <c r="H802" s="463">
        <v>1</v>
      </c>
      <c r="I802" s="329">
        <f>F802*G793*H802</f>
        <v>32736522</v>
      </c>
      <c r="J802" s="336"/>
    </row>
    <row r="803" spans="1:10" x14ac:dyDescent="0.25">
      <c r="A803" s="303"/>
      <c r="B803" s="332"/>
      <c r="C803" s="55"/>
      <c r="D803" s="600"/>
      <c r="E803" s="500"/>
      <c r="F803" s="298"/>
      <c r="G803" s="501"/>
      <c r="H803" s="413"/>
      <c r="I803" s="502"/>
      <c r="J803" s="336"/>
    </row>
    <row r="804" spans="1:10" x14ac:dyDescent="0.25">
      <c r="A804" s="303"/>
      <c r="B804" s="332"/>
      <c r="C804" s="55"/>
      <c r="D804" s="596" t="s">
        <v>391</v>
      </c>
      <c r="E804" s="500"/>
      <c r="F804" s="298"/>
      <c r="G804" s="501"/>
      <c r="H804" s="413"/>
      <c r="I804" s="502"/>
      <c r="J804" s="336"/>
    </row>
    <row r="805" spans="1:10" x14ac:dyDescent="0.25">
      <c r="A805" s="303"/>
      <c r="B805" s="332"/>
      <c r="C805" s="55"/>
      <c r="D805" s="596"/>
      <c r="E805" s="500"/>
      <c r="F805" s="298"/>
      <c r="G805" s="501"/>
      <c r="H805" s="413"/>
      <c r="I805" s="502"/>
      <c r="J805" s="336"/>
    </row>
    <row r="806" spans="1:10" x14ac:dyDescent="0.25">
      <c r="A806" s="303"/>
      <c r="B806" s="332"/>
      <c r="C806" s="55"/>
      <c r="D806" s="503" t="s">
        <v>392</v>
      </c>
      <c r="E806" s="429" t="s">
        <v>193</v>
      </c>
      <c r="F806" s="498">
        <v>16.5</v>
      </c>
      <c r="G806" s="299">
        <v>533185</v>
      </c>
      <c r="H806" s="463">
        <v>1</v>
      </c>
      <c r="I806" s="329">
        <f>F806*G806*H806</f>
        <v>8797552.5</v>
      </c>
      <c r="J806" s="336"/>
    </row>
    <row r="807" spans="1:10" x14ac:dyDescent="0.25">
      <c r="A807" s="303"/>
      <c r="B807" s="332"/>
      <c r="C807" s="55"/>
      <c r="D807" s="598" t="s">
        <v>393</v>
      </c>
      <c r="E807" s="500"/>
      <c r="F807" s="298"/>
      <c r="G807" s="501"/>
      <c r="H807" s="413"/>
      <c r="I807" s="502"/>
      <c r="J807" s="336"/>
    </row>
    <row r="808" spans="1:10" x14ac:dyDescent="0.25">
      <c r="A808" s="303"/>
      <c r="B808" s="332"/>
      <c r="C808" s="55"/>
      <c r="D808" s="598"/>
      <c r="E808" s="500"/>
      <c r="F808" s="298"/>
      <c r="G808" s="501"/>
      <c r="H808" s="413"/>
      <c r="I808" s="502"/>
      <c r="J808" s="336"/>
    </row>
    <row r="809" spans="1:10" x14ac:dyDescent="0.25">
      <c r="A809" s="303"/>
      <c r="B809" s="332"/>
      <c r="C809" s="55"/>
      <c r="D809" s="598"/>
      <c r="E809" s="500"/>
      <c r="F809" s="298"/>
      <c r="G809" s="501"/>
      <c r="H809" s="413"/>
      <c r="I809" s="502"/>
      <c r="J809" s="336"/>
    </row>
    <row r="810" spans="1:10" x14ac:dyDescent="0.25">
      <c r="A810" s="303"/>
      <c r="B810" s="332"/>
      <c r="C810" s="55"/>
      <c r="D810" s="598"/>
      <c r="E810" s="500"/>
      <c r="F810" s="298"/>
      <c r="G810" s="501"/>
      <c r="H810" s="413"/>
      <c r="I810" s="502"/>
      <c r="J810" s="336"/>
    </row>
    <row r="811" spans="1:10" x14ac:dyDescent="0.25">
      <c r="A811" s="303"/>
      <c r="B811" s="332"/>
      <c r="C811" s="55"/>
      <c r="D811" s="598"/>
      <c r="E811" s="500"/>
      <c r="F811" s="298"/>
      <c r="G811" s="501"/>
      <c r="H811" s="413"/>
      <c r="I811" s="502"/>
      <c r="J811" s="336"/>
    </row>
    <row r="812" spans="1:10" x14ac:dyDescent="0.25">
      <c r="A812" s="303"/>
      <c r="B812" s="332"/>
      <c r="C812" s="55"/>
      <c r="D812" s="598"/>
      <c r="E812" s="500"/>
      <c r="F812" s="298"/>
      <c r="G812" s="501"/>
      <c r="H812" s="413"/>
      <c r="I812" s="502"/>
      <c r="J812" s="336"/>
    </row>
    <row r="813" spans="1:10" x14ac:dyDescent="0.25">
      <c r="A813" s="303"/>
      <c r="B813" s="332"/>
      <c r="C813" s="55"/>
      <c r="D813" s="598"/>
      <c r="E813" s="500"/>
      <c r="F813" s="298"/>
      <c r="G813" s="501"/>
      <c r="H813" s="413"/>
      <c r="I813" s="502"/>
      <c r="J813" s="336"/>
    </row>
    <row r="814" spans="1:10" x14ac:dyDescent="0.25">
      <c r="A814" s="303"/>
      <c r="B814" s="332"/>
      <c r="C814" s="55"/>
      <c r="D814" s="609" t="s">
        <v>394</v>
      </c>
      <c r="E814" s="429" t="s">
        <v>120</v>
      </c>
      <c r="F814" s="498">
        <v>468</v>
      </c>
      <c r="G814" s="299">
        <v>230583</v>
      </c>
      <c r="H814" s="463">
        <v>0.8</v>
      </c>
      <c r="I814" s="329">
        <f>F814*G814*H814</f>
        <v>86330275.200000003</v>
      </c>
      <c r="J814" s="336"/>
    </row>
    <row r="815" spans="1:10" x14ac:dyDescent="0.25">
      <c r="A815" s="303"/>
      <c r="B815" s="332"/>
      <c r="C815" s="55"/>
      <c r="D815" s="609"/>
      <c r="E815" s="429"/>
      <c r="F815" s="498"/>
      <c r="G815" s="299"/>
      <c r="H815" s="463"/>
      <c r="I815" s="329"/>
      <c r="J815" s="336"/>
    </row>
    <row r="816" spans="1:10" x14ac:dyDescent="0.25">
      <c r="A816" s="303"/>
      <c r="B816" s="332"/>
      <c r="C816" s="55"/>
      <c r="D816" s="596" t="s">
        <v>395</v>
      </c>
      <c r="E816" s="500"/>
      <c r="F816" s="298"/>
      <c r="G816" s="501"/>
      <c r="H816" s="413"/>
      <c r="I816" s="502"/>
      <c r="J816" s="336"/>
    </row>
    <row r="817" spans="1:10" x14ac:dyDescent="0.25">
      <c r="A817" s="303"/>
      <c r="B817" s="332"/>
      <c r="C817" s="55"/>
      <c r="D817" s="596"/>
      <c r="E817" s="500"/>
      <c r="F817" s="298"/>
      <c r="G817" s="501"/>
      <c r="H817" s="413"/>
      <c r="I817" s="502"/>
      <c r="J817" s="336"/>
    </row>
    <row r="818" spans="1:10" x14ac:dyDescent="0.25">
      <c r="A818" s="303"/>
      <c r="B818" s="332"/>
      <c r="C818" s="55"/>
      <c r="D818" s="472" t="s">
        <v>396</v>
      </c>
      <c r="E818" s="429" t="s">
        <v>72</v>
      </c>
      <c r="F818" s="498">
        <f>0.4*0.2*21</f>
        <v>1.6800000000000004</v>
      </c>
      <c r="G818" s="299">
        <v>6647284</v>
      </c>
      <c r="H818" s="463">
        <v>1</v>
      </c>
      <c r="I818" s="329">
        <f>F818*G818*H818</f>
        <v>11167437.120000003</v>
      </c>
      <c r="J818" s="336"/>
    </row>
    <row r="819" spans="1:10" x14ac:dyDescent="0.25">
      <c r="A819" s="303"/>
      <c r="B819" s="332"/>
      <c r="C819" s="55"/>
      <c r="D819" s="596" t="s">
        <v>397</v>
      </c>
      <c r="E819" s="500"/>
      <c r="F819" s="298"/>
      <c r="G819" s="501"/>
      <c r="H819" s="413"/>
      <c r="I819" s="502"/>
      <c r="J819" s="336"/>
    </row>
    <row r="820" spans="1:10" x14ac:dyDescent="0.25">
      <c r="A820" s="303"/>
      <c r="B820" s="332"/>
      <c r="C820" s="55"/>
      <c r="D820" s="596"/>
      <c r="E820" s="500"/>
      <c r="F820" s="298"/>
      <c r="G820" s="501"/>
      <c r="H820" s="413"/>
      <c r="I820" s="502"/>
      <c r="J820" s="336"/>
    </row>
    <row r="821" spans="1:10" x14ac:dyDescent="0.25">
      <c r="A821" s="303"/>
      <c r="B821" s="351"/>
      <c r="C821" s="55"/>
      <c r="D821" s="464" t="s">
        <v>242</v>
      </c>
      <c r="E821" s="429"/>
      <c r="F821" s="465"/>
      <c r="G821" s="466"/>
      <c r="H821" s="467"/>
      <c r="I821" s="490">
        <f>SUM(I828:I838)</f>
        <v>14243000</v>
      </c>
      <c r="J821" s="302"/>
    </row>
    <row r="822" spans="1:10" x14ac:dyDescent="0.25">
      <c r="A822" s="303"/>
      <c r="B822" s="351"/>
      <c r="C822" s="55"/>
      <c r="D822" s="457" t="s">
        <v>88</v>
      </c>
      <c r="E822" s="429"/>
      <c r="F822" s="465"/>
      <c r="G822" s="468"/>
      <c r="H822" s="467"/>
      <c r="I822" s="490"/>
      <c r="J822" s="302"/>
    </row>
    <row r="823" spans="1:10" ht="21" customHeight="1" x14ac:dyDescent="0.25">
      <c r="A823" s="303"/>
      <c r="B823" s="443"/>
      <c r="C823" s="55"/>
      <c r="D823" s="469"/>
      <c r="E823" s="499"/>
      <c r="F823" s="465"/>
      <c r="G823" s="468"/>
      <c r="H823" s="467"/>
      <c r="I823" s="490"/>
      <c r="J823" s="302"/>
    </row>
    <row r="824" spans="1:10" x14ac:dyDescent="0.25">
      <c r="A824" s="303"/>
      <c r="B824" s="351"/>
      <c r="C824" s="55"/>
      <c r="D824" s="610" t="s">
        <v>398</v>
      </c>
      <c r="E824" s="429"/>
      <c r="F824" s="504"/>
      <c r="G824" s="360"/>
      <c r="H824" s="360"/>
      <c r="I824" s="458"/>
      <c r="J824" s="360"/>
    </row>
    <row r="825" spans="1:10" ht="27" customHeight="1" x14ac:dyDescent="0.25">
      <c r="A825" s="303"/>
      <c r="B825" s="351"/>
      <c r="C825" s="55"/>
      <c r="D825" s="610"/>
      <c r="E825" s="429"/>
      <c r="F825" s="504"/>
      <c r="G825" s="360"/>
      <c r="H825" s="360"/>
      <c r="I825" s="458"/>
      <c r="J825" s="360"/>
    </row>
    <row r="826" spans="1:10" x14ac:dyDescent="0.25">
      <c r="A826" s="303"/>
      <c r="B826" s="351"/>
      <c r="C826" s="55"/>
      <c r="D826" s="610"/>
      <c r="E826" s="429"/>
      <c r="F826" s="504"/>
      <c r="G826" s="360"/>
      <c r="H826" s="360"/>
      <c r="I826" s="458"/>
      <c r="J826" s="360"/>
    </row>
    <row r="827" spans="1:10" x14ac:dyDescent="0.25">
      <c r="A827" s="303"/>
      <c r="B827" s="351"/>
      <c r="C827" s="55"/>
      <c r="D827" s="610"/>
      <c r="E827" s="429"/>
      <c r="F827" s="504"/>
      <c r="G827" s="360"/>
      <c r="H827" s="360"/>
      <c r="I827" s="458"/>
      <c r="J827" s="360"/>
    </row>
    <row r="828" spans="1:10" x14ac:dyDescent="0.25">
      <c r="A828" s="303"/>
      <c r="B828" s="351"/>
      <c r="C828" s="55"/>
      <c r="D828" s="505" t="s">
        <v>250</v>
      </c>
      <c r="E828" s="429" t="s">
        <v>399</v>
      </c>
      <c r="F828" s="506">
        <v>5</v>
      </c>
      <c r="G828" s="507">
        <v>1844000</v>
      </c>
      <c r="H828" s="467">
        <v>1</v>
      </c>
      <c r="I828" s="329">
        <f>G828*F828*H828</f>
        <v>9220000</v>
      </c>
      <c r="J828" s="302"/>
    </row>
    <row r="829" spans="1:10" x14ac:dyDescent="0.25">
      <c r="A829" s="303"/>
      <c r="B829" s="351"/>
      <c r="C829" s="55"/>
      <c r="D829" s="505" t="s">
        <v>366</v>
      </c>
      <c r="E829" s="429" t="s">
        <v>399</v>
      </c>
      <c r="F829" s="508">
        <v>3</v>
      </c>
      <c r="G829" s="411">
        <v>769000</v>
      </c>
      <c r="H829" s="467">
        <v>1</v>
      </c>
      <c r="I829" s="329">
        <f>G829*F829*H829</f>
        <v>2307000</v>
      </c>
      <c r="J829" s="302"/>
    </row>
    <row r="830" spans="1:10" x14ac:dyDescent="0.25">
      <c r="A830" s="303"/>
      <c r="B830" s="351"/>
      <c r="C830" s="55"/>
      <c r="D830" s="509" t="s">
        <v>400</v>
      </c>
      <c r="E830" s="429" t="s">
        <v>399</v>
      </c>
      <c r="F830" s="508">
        <v>1</v>
      </c>
      <c r="G830" s="411">
        <v>593000</v>
      </c>
      <c r="H830" s="467">
        <v>1</v>
      </c>
      <c r="I830" s="329">
        <f>G830*F830*H830</f>
        <v>593000</v>
      </c>
      <c r="J830" s="302"/>
    </row>
    <row r="831" spans="1:10" x14ac:dyDescent="0.25">
      <c r="A831" s="303"/>
      <c r="B831" s="351"/>
      <c r="C831" s="55"/>
      <c r="D831" s="509" t="s">
        <v>401</v>
      </c>
      <c r="E831" s="310" t="s">
        <v>61</v>
      </c>
      <c r="F831" s="510">
        <v>3</v>
      </c>
      <c r="G831" s="511">
        <v>218000</v>
      </c>
      <c r="H831" s="467">
        <v>1</v>
      </c>
      <c r="I831" s="329">
        <f>G831*F831*H831</f>
        <v>654000</v>
      </c>
      <c r="J831" s="512"/>
    </row>
    <row r="832" spans="1:10" x14ac:dyDescent="0.25">
      <c r="A832" s="303"/>
      <c r="B832" s="351"/>
      <c r="C832" s="55"/>
      <c r="D832" s="505" t="s">
        <v>402</v>
      </c>
      <c r="E832" s="310" t="s">
        <v>61</v>
      </c>
      <c r="F832" s="510">
        <v>1</v>
      </c>
      <c r="G832" s="400">
        <v>228000</v>
      </c>
      <c r="H832" s="467">
        <v>1</v>
      </c>
      <c r="I832" s="329">
        <f t="shared" ref="I832:I838" si="4">G832*F832*H832</f>
        <v>228000</v>
      </c>
      <c r="J832" s="336"/>
    </row>
    <row r="833" spans="1:10" x14ac:dyDescent="0.25">
      <c r="A833" s="303"/>
      <c r="B833" s="351"/>
      <c r="C833" s="55"/>
      <c r="D833" s="505" t="s">
        <v>403</v>
      </c>
      <c r="E833" s="310" t="s">
        <v>61</v>
      </c>
      <c r="F833" s="510">
        <v>1</v>
      </c>
      <c r="G833" s="400">
        <v>96000</v>
      </c>
      <c r="H833" s="467">
        <v>1</v>
      </c>
      <c r="I833" s="329">
        <f t="shared" si="4"/>
        <v>96000</v>
      </c>
      <c r="J833" s="336"/>
    </row>
    <row r="834" spans="1:10" x14ac:dyDescent="0.25">
      <c r="A834" s="303"/>
      <c r="B834" s="351"/>
      <c r="C834" s="55"/>
      <c r="D834" s="513" t="s">
        <v>404</v>
      </c>
      <c r="E834" s="16" t="s">
        <v>61</v>
      </c>
      <c r="F834" s="514">
        <v>1</v>
      </c>
      <c r="G834" s="400">
        <v>511000</v>
      </c>
      <c r="H834" s="467">
        <v>1</v>
      </c>
      <c r="I834" s="329">
        <f t="shared" si="4"/>
        <v>511000</v>
      </c>
      <c r="J834" s="336"/>
    </row>
    <row r="835" spans="1:10" x14ac:dyDescent="0.25">
      <c r="A835" s="303"/>
      <c r="B835" s="351"/>
      <c r="C835" s="55"/>
      <c r="D835" s="505" t="s">
        <v>405</v>
      </c>
      <c r="E835" s="310" t="s">
        <v>61</v>
      </c>
      <c r="F835" s="506">
        <v>1</v>
      </c>
      <c r="G835" s="400">
        <v>270000</v>
      </c>
      <c r="H835" s="467">
        <v>1</v>
      </c>
      <c r="I835" s="329">
        <f t="shared" si="4"/>
        <v>270000</v>
      </c>
      <c r="J835" s="336"/>
    </row>
    <row r="836" spans="1:10" x14ac:dyDescent="0.25">
      <c r="A836" s="303"/>
      <c r="B836" s="351"/>
      <c r="C836" s="55"/>
      <c r="D836" s="509" t="s">
        <v>406</v>
      </c>
      <c r="E836" s="515" t="s">
        <v>294</v>
      </c>
      <c r="F836" s="508">
        <v>1</v>
      </c>
      <c r="G836" s="400">
        <v>84000</v>
      </c>
      <c r="H836" s="467">
        <v>1</v>
      </c>
      <c r="I836" s="329">
        <f t="shared" si="4"/>
        <v>84000</v>
      </c>
      <c r="J836" s="336"/>
    </row>
    <row r="837" spans="1:10" x14ac:dyDescent="0.25">
      <c r="A837" s="303"/>
      <c r="B837" s="351"/>
      <c r="C837" s="55"/>
      <c r="D837" s="509" t="s">
        <v>407</v>
      </c>
      <c r="E837" s="515" t="s">
        <v>12</v>
      </c>
      <c r="F837" s="508">
        <v>4</v>
      </c>
      <c r="G837" s="516">
        <v>11500</v>
      </c>
      <c r="H837" s="467">
        <v>1</v>
      </c>
      <c r="I837" s="329">
        <f t="shared" si="4"/>
        <v>46000</v>
      </c>
      <c r="J837" s="336"/>
    </row>
    <row r="838" spans="1:10" x14ac:dyDescent="0.25">
      <c r="A838" s="303"/>
      <c r="B838" s="351"/>
      <c r="C838" s="55"/>
      <c r="D838" s="509" t="s">
        <v>408</v>
      </c>
      <c r="E838" s="515" t="s">
        <v>12</v>
      </c>
      <c r="F838" s="508">
        <v>18</v>
      </c>
      <c r="G838" s="516">
        <v>13000</v>
      </c>
      <c r="H838" s="467">
        <v>1</v>
      </c>
      <c r="I838" s="329">
        <f t="shared" si="4"/>
        <v>234000</v>
      </c>
      <c r="J838" s="336"/>
    </row>
    <row r="839" spans="1:10" x14ac:dyDescent="0.25">
      <c r="A839" s="303"/>
      <c r="B839" s="351"/>
      <c r="C839" s="55"/>
      <c r="D839" s="337"/>
      <c r="E839" s="500"/>
      <c r="F839" s="298"/>
      <c r="G839" s="501"/>
      <c r="H839" s="413"/>
      <c r="I839" s="502"/>
      <c r="J839" s="336"/>
    </row>
    <row r="840" spans="1:10" x14ac:dyDescent="0.25">
      <c r="A840" s="318"/>
      <c r="B840" s="318"/>
      <c r="C840" s="55"/>
      <c r="D840" s="517" t="s">
        <v>409</v>
      </c>
      <c r="E840" s="429"/>
      <c r="F840" s="471"/>
      <c r="G840" s="468"/>
      <c r="H840" s="467"/>
      <c r="I840" s="329"/>
      <c r="J840" s="302"/>
    </row>
    <row r="841" spans="1:10" x14ac:dyDescent="0.25">
      <c r="A841" s="318"/>
      <c r="B841" s="318"/>
      <c r="C841" s="55"/>
      <c r="D841" s="611" t="s">
        <v>410</v>
      </c>
      <c r="E841" s="429"/>
      <c r="F841" s="554" t="s">
        <v>411</v>
      </c>
      <c r="G841" s="555"/>
      <c r="H841" s="555"/>
      <c r="I841" s="555"/>
      <c r="J841" s="556"/>
    </row>
    <row r="842" spans="1:10" x14ac:dyDescent="0.25">
      <c r="A842" s="318"/>
      <c r="B842" s="318"/>
      <c r="C842" s="55"/>
      <c r="D842" s="611"/>
      <c r="E842" s="429"/>
      <c r="F842" s="557"/>
      <c r="G842" s="558"/>
      <c r="H842" s="558"/>
      <c r="I842" s="558"/>
      <c r="J842" s="559"/>
    </row>
    <row r="843" spans="1:10" x14ac:dyDescent="0.25">
      <c r="A843" s="318"/>
      <c r="B843" s="318"/>
      <c r="C843" s="55"/>
      <c r="D843" s="611"/>
      <c r="E843" s="429"/>
      <c r="F843" s="560"/>
      <c r="G843" s="561"/>
      <c r="H843" s="561"/>
      <c r="I843" s="561"/>
      <c r="J843" s="562"/>
    </row>
    <row r="844" spans="1:10" x14ac:dyDescent="0.25">
      <c r="A844" s="318"/>
      <c r="B844" s="318"/>
      <c r="C844" s="55"/>
      <c r="D844" s="470"/>
      <c r="E844" s="429"/>
      <c r="F844" s="518"/>
      <c r="G844" s="518"/>
      <c r="H844" s="518"/>
      <c r="I844" s="519"/>
      <c r="J844" s="518"/>
    </row>
    <row r="845" spans="1:10" x14ac:dyDescent="0.25">
      <c r="A845" s="318"/>
      <c r="B845" s="318"/>
      <c r="C845" s="55"/>
      <c r="D845" s="390" t="s">
        <v>80</v>
      </c>
      <c r="E845" s="297"/>
      <c r="F845" s="298"/>
      <c r="G845" s="299"/>
      <c r="H845" s="309"/>
      <c r="I845" s="490"/>
      <c r="J845" s="302">
        <f>SUM(I855:I883)</f>
        <v>1064453120</v>
      </c>
    </row>
    <row r="846" spans="1:10" x14ac:dyDescent="0.25">
      <c r="A846" s="318"/>
      <c r="B846" s="318"/>
      <c r="C846" s="55"/>
      <c r="D846" s="391" t="s">
        <v>323</v>
      </c>
      <c r="E846" s="297"/>
      <c r="F846" s="335"/>
      <c r="G846" s="392"/>
      <c r="H846" s="392"/>
      <c r="I846" s="381"/>
      <c r="J846" s="317"/>
    </row>
    <row r="847" spans="1:10" x14ac:dyDescent="0.25">
      <c r="A847" s="318"/>
      <c r="B847" s="318"/>
      <c r="C847" s="55"/>
      <c r="D847" s="563" t="s">
        <v>412</v>
      </c>
      <c r="E847" s="297"/>
      <c r="F847" s="335"/>
      <c r="G847" s="392"/>
      <c r="H847" s="392"/>
      <c r="I847" s="381"/>
      <c r="J847" s="317"/>
    </row>
    <row r="848" spans="1:10" x14ac:dyDescent="0.25">
      <c r="A848" s="318"/>
      <c r="B848" s="318"/>
      <c r="C848" s="55"/>
      <c r="D848" s="563"/>
      <c r="E848" s="297"/>
      <c r="F848" s="335"/>
      <c r="G848" s="392"/>
      <c r="H848" s="392"/>
      <c r="I848" s="381"/>
      <c r="J848" s="317"/>
    </row>
    <row r="849" spans="1:10" x14ac:dyDescent="0.25">
      <c r="A849" s="318"/>
      <c r="B849" s="318"/>
      <c r="C849" s="55"/>
      <c r="D849" s="563"/>
      <c r="E849" s="297"/>
      <c r="F849" s="335"/>
      <c r="G849" s="392"/>
      <c r="H849" s="392"/>
      <c r="I849" s="381"/>
      <c r="J849" s="317"/>
    </row>
    <row r="850" spans="1:10" x14ac:dyDescent="0.25">
      <c r="A850" s="318"/>
      <c r="B850" s="318"/>
      <c r="C850" s="55"/>
      <c r="D850" s="563"/>
      <c r="E850" s="297"/>
      <c r="F850" s="335"/>
      <c r="G850" s="392"/>
      <c r="H850" s="392"/>
      <c r="I850" s="381"/>
      <c r="J850" s="317"/>
    </row>
    <row r="851" spans="1:10" x14ac:dyDescent="0.25">
      <c r="A851" s="318"/>
      <c r="B851" s="318"/>
      <c r="C851" s="55"/>
      <c r="D851" s="563"/>
      <c r="E851" s="297"/>
      <c r="F851" s="335"/>
      <c r="G851" s="392"/>
      <c r="H851" s="392"/>
      <c r="I851" s="381"/>
      <c r="J851" s="317"/>
    </row>
    <row r="852" spans="1:10" x14ac:dyDescent="0.25">
      <c r="A852" s="318"/>
      <c r="B852" s="318"/>
      <c r="C852" s="55"/>
      <c r="D852" s="563"/>
      <c r="E852" s="297"/>
      <c r="F852" s="335"/>
      <c r="G852" s="392"/>
      <c r="H852" s="392"/>
      <c r="I852" s="381"/>
      <c r="J852" s="317"/>
    </row>
    <row r="853" spans="1:10" x14ac:dyDescent="0.25">
      <c r="A853" s="318"/>
      <c r="B853" s="318"/>
      <c r="C853" s="55"/>
      <c r="D853" s="563"/>
      <c r="E853" s="297"/>
      <c r="F853" s="335"/>
      <c r="G853" s="392"/>
      <c r="H853" s="392"/>
      <c r="I853" s="381"/>
      <c r="J853" s="317"/>
    </row>
    <row r="854" spans="1:10" x14ac:dyDescent="0.25">
      <c r="A854" s="318"/>
      <c r="B854" s="318"/>
      <c r="C854" s="55"/>
      <c r="D854" s="575" t="s">
        <v>413</v>
      </c>
      <c r="E854" s="310"/>
      <c r="F854" s="393"/>
      <c r="G854" s="394"/>
      <c r="H854" s="297"/>
      <c r="I854" s="394"/>
      <c r="J854" s="317"/>
    </row>
    <row r="855" spans="1:10" x14ac:dyDescent="0.25">
      <c r="A855" s="318"/>
      <c r="B855" s="318"/>
      <c r="C855" s="55"/>
      <c r="D855" s="575"/>
      <c r="E855" s="310" t="s">
        <v>59</v>
      </c>
      <c r="F855" s="395">
        <f>30*24*2</f>
        <v>1440</v>
      </c>
      <c r="G855" s="394">
        <v>13438</v>
      </c>
      <c r="H855" s="309">
        <v>1</v>
      </c>
      <c r="I855" s="394">
        <f>F855*G855*H855</f>
        <v>19350720</v>
      </c>
      <c r="J855" s="317"/>
    </row>
    <row r="856" spans="1:10" x14ac:dyDescent="0.25">
      <c r="A856" s="318"/>
      <c r="B856" s="318"/>
      <c r="C856" s="55"/>
      <c r="D856" s="575"/>
      <c r="E856" s="396"/>
      <c r="F856" s="396"/>
      <c r="G856" s="396"/>
      <c r="H856" s="396"/>
      <c r="I856" s="520"/>
      <c r="J856" s="397"/>
    </row>
    <row r="857" spans="1:10" x14ac:dyDescent="0.25">
      <c r="A857" s="318"/>
      <c r="B857" s="318"/>
      <c r="C857" s="55"/>
      <c r="D857" s="15" t="s">
        <v>17</v>
      </c>
      <c r="E857" s="398"/>
      <c r="F857" s="398"/>
      <c r="G857" s="398"/>
      <c r="H857" s="398"/>
      <c r="I857" s="521"/>
      <c r="J857" s="398"/>
    </row>
    <row r="858" spans="1:10" x14ac:dyDescent="0.25">
      <c r="A858" s="318"/>
      <c r="B858" s="318"/>
      <c r="C858" s="55"/>
      <c r="D858" s="563" t="s">
        <v>326</v>
      </c>
      <c r="E858" s="398"/>
      <c r="F858" s="398"/>
      <c r="G858" s="398"/>
      <c r="H858" s="398"/>
      <c r="I858" s="521"/>
      <c r="J858" s="398"/>
    </row>
    <row r="859" spans="1:10" x14ac:dyDescent="0.25">
      <c r="A859" s="318"/>
      <c r="B859" s="318"/>
      <c r="C859" s="55"/>
      <c r="D859" s="563"/>
      <c r="E859" s="398"/>
      <c r="F859" s="398"/>
      <c r="G859" s="398"/>
      <c r="H859" s="398"/>
      <c r="I859" s="521"/>
      <c r="J859" s="398"/>
    </row>
    <row r="860" spans="1:10" x14ac:dyDescent="0.25">
      <c r="A860" s="318"/>
      <c r="B860" s="318"/>
      <c r="C860" s="55"/>
      <c r="D860" s="563"/>
      <c r="E860" s="398"/>
      <c r="F860" s="398"/>
      <c r="G860" s="398"/>
      <c r="H860" s="398"/>
      <c r="I860" s="521"/>
      <c r="J860" s="398"/>
    </row>
    <row r="861" spans="1:10" x14ac:dyDescent="0.25">
      <c r="A861" s="318"/>
      <c r="B861" s="318"/>
      <c r="C861" s="55"/>
      <c r="D861" s="563"/>
      <c r="E861" s="398"/>
      <c r="F861" s="398"/>
      <c r="G861" s="398"/>
      <c r="H861" s="398"/>
      <c r="I861" s="521"/>
      <c r="J861" s="398"/>
    </row>
    <row r="862" spans="1:10" x14ac:dyDescent="0.25">
      <c r="A862" s="318"/>
      <c r="B862" s="318"/>
      <c r="C862" s="55"/>
      <c r="D862" s="563"/>
      <c r="E862" s="398"/>
      <c r="F862" s="398"/>
      <c r="G862" s="398"/>
      <c r="H862" s="398"/>
      <c r="I862" s="521"/>
      <c r="J862" s="398"/>
    </row>
    <row r="863" spans="1:10" x14ac:dyDescent="0.25">
      <c r="A863" s="318"/>
      <c r="B863" s="318"/>
      <c r="C863" s="55"/>
      <c r="D863" s="563"/>
      <c r="E863" s="522"/>
      <c r="F863" s="472"/>
      <c r="G863" s="400"/>
      <c r="H863" s="473"/>
      <c r="I863" s="523"/>
      <c r="J863" s="402"/>
    </row>
    <row r="864" spans="1:10" x14ac:dyDescent="0.25">
      <c r="A864" s="318"/>
      <c r="B864" s="318"/>
      <c r="C864" s="55"/>
      <c r="D864" s="563" t="s">
        <v>327</v>
      </c>
      <c r="E864" s="396"/>
      <c r="F864" s="396"/>
      <c r="G864" s="396"/>
      <c r="H864" s="396"/>
      <c r="I864" s="520"/>
      <c r="J864" s="402"/>
    </row>
    <row r="865" spans="1:10" x14ac:dyDescent="0.25">
      <c r="A865" s="318"/>
      <c r="B865" s="318"/>
      <c r="C865" s="55"/>
      <c r="D865" s="563"/>
      <c r="E865" s="396"/>
      <c r="F865" s="396"/>
      <c r="G865" s="396"/>
      <c r="H865" s="396"/>
      <c r="I865" s="520"/>
      <c r="J865" s="402"/>
    </row>
    <row r="866" spans="1:10" x14ac:dyDescent="0.25">
      <c r="A866" s="318"/>
      <c r="B866" s="318"/>
      <c r="C866" s="55"/>
      <c r="D866" s="563"/>
      <c r="E866" s="396"/>
      <c r="F866" s="396"/>
      <c r="G866" s="396"/>
      <c r="H866" s="396"/>
      <c r="I866" s="520"/>
      <c r="J866" s="402"/>
    </row>
    <row r="867" spans="1:10" x14ac:dyDescent="0.25">
      <c r="A867" s="318"/>
      <c r="B867" s="318"/>
      <c r="C867" s="55"/>
      <c r="D867" s="563"/>
      <c r="E867" s="396"/>
      <c r="F867" s="396"/>
      <c r="G867" s="396"/>
      <c r="H867" s="396"/>
      <c r="I867" s="520"/>
      <c r="J867" s="402"/>
    </row>
    <row r="868" spans="1:10" x14ac:dyDescent="0.25">
      <c r="A868" s="318"/>
      <c r="B868" s="318"/>
      <c r="C868" s="55"/>
      <c r="D868" s="563"/>
      <c r="E868" s="396"/>
      <c r="F868" s="396"/>
      <c r="G868" s="396"/>
      <c r="H868" s="396"/>
      <c r="I868" s="520"/>
      <c r="J868" s="402"/>
    </row>
    <row r="869" spans="1:10" x14ac:dyDescent="0.25">
      <c r="A869" s="318"/>
      <c r="B869" s="318"/>
      <c r="C869" s="55"/>
      <c r="D869" s="563"/>
      <c r="E869" s="396"/>
      <c r="F869" s="396"/>
      <c r="G869" s="396"/>
      <c r="H869" s="396"/>
      <c r="I869" s="520"/>
      <c r="J869" s="402"/>
    </row>
    <row r="870" spans="1:10" x14ac:dyDescent="0.25">
      <c r="A870" s="318"/>
      <c r="B870" s="318"/>
      <c r="C870" s="55"/>
      <c r="D870" s="563"/>
      <c r="E870" s="396"/>
      <c r="F870" s="396"/>
      <c r="G870" s="396"/>
      <c r="H870" s="396"/>
      <c r="I870" s="520"/>
      <c r="J870" s="402"/>
    </row>
    <row r="871" spans="1:10" x14ac:dyDescent="0.25">
      <c r="A871" s="318"/>
      <c r="B871" s="318"/>
      <c r="C871" s="55"/>
      <c r="D871" s="563"/>
      <c r="E871" s="396"/>
      <c r="F871" s="396"/>
      <c r="G871" s="396"/>
      <c r="H871" s="396"/>
      <c r="I871" s="520"/>
      <c r="J871" s="402"/>
    </row>
    <row r="872" spans="1:10" x14ac:dyDescent="0.25">
      <c r="A872" s="318"/>
      <c r="B872" s="318"/>
      <c r="C872" s="55"/>
      <c r="D872" s="563"/>
      <c r="E872" s="396"/>
      <c r="F872" s="396"/>
      <c r="G872" s="396"/>
      <c r="H872" s="396"/>
      <c r="I872" s="520"/>
      <c r="J872" s="402"/>
    </row>
    <row r="873" spans="1:10" x14ac:dyDescent="0.25">
      <c r="A873" s="318"/>
      <c r="B873" s="318"/>
      <c r="C873" s="55"/>
      <c r="D873" s="403" t="s">
        <v>414</v>
      </c>
      <c r="E873" s="310" t="s">
        <v>12</v>
      </c>
      <c r="F873" s="393">
        <f>F762</f>
        <v>3117.6</v>
      </c>
      <c r="G873" s="400">
        <v>324000</v>
      </c>
      <c r="H873" s="309">
        <v>1</v>
      </c>
      <c r="I873" s="516">
        <f>F873*G873*H873</f>
        <v>1010102400</v>
      </c>
      <c r="J873" s="402"/>
    </row>
    <row r="874" spans="1:10" x14ac:dyDescent="0.25">
      <c r="A874" s="318"/>
      <c r="B874" s="318"/>
      <c r="C874" s="55"/>
      <c r="D874" s="404"/>
      <c r="E874" s="310"/>
      <c r="F874" s="393"/>
      <c r="G874" s="400"/>
      <c r="H874" s="473"/>
      <c r="I874" s="516"/>
      <c r="J874" s="402"/>
    </row>
    <row r="875" spans="1:10" x14ac:dyDescent="0.25">
      <c r="A875" s="318"/>
      <c r="B875" s="318"/>
      <c r="C875" s="55"/>
      <c r="D875" s="405" t="s">
        <v>329</v>
      </c>
      <c r="E875" s="318"/>
      <c r="F875" s="318"/>
      <c r="G875" s="406"/>
      <c r="H875" s="407"/>
      <c r="I875" s="524"/>
      <c r="J875" s="407"/>
    </row>
    <row r="876" spans="1:10" x14ac:dyDescent="0.25">
      <c r="A876" s="318"/>
      <c r="B876" s="318"/>
      <c r="C876" s="55"/>
      <c r="D876" s="563" t="s">
        <v>330</v>
      </c>
      <c r="E876" s="408"/>
      <c r="F876" s="409"/>
      <c r="G876" s="406"/>
      <c r="H876" s="407"/>
      <c r="I876" s="524"/>
      <c r="J876" s="407"/>
    </row>
    <row r="877" spans="1:10" x14ac:dyDescent="0.25">
      <c r="A877" s="318"/>
      <c r="B877" s="318"/>
      <c r="C877" s="55"/>
      <c r="D877" s="563"/>
      <c r="E877" s="408"/>
      <c r="F877" s="409"/>
      <c r="G877" s="406"/>
      <c r="H877" s="407"/>
      <c r="I877" s="524"/>
      <c r="J877" s="407"/>
    </row>
    <row r="878" spans="1:10" x14ac:dyDescent="0.25">
      <c r="A878" s="318"/>
      <c r="B878" s="318"/>
      <c r="C878" s="55"/>
      <c r="D878" s="563"/>
      <c r="E878" s="408"/>
      <c r="F878" s="409"/>
      <c r="G878" s="406"/>
      <c r="H878" s="407"/>
      <c r="I878" s="524"/>
      <c r="J878" s="407"/>
    </row>
    <row r="879" spans="1:10" x14ac:dyDescent="0.25">
      <c r="A879" s="318"/>
      <c r="B879" s="318"/>
      <c r="C879" s="55"/>
      <c r="D879" s="563"/>
      <c r="E879" s="408"/>
      <c r="F879" s="409"/>
      <c r="G879" s="406"/>
      <c r="H879" s="407"/>
      <c r="I879" s="524"/>
      <c r="J879" s="407"/>
    </row>
    <row r="880" spans="1:10" x14ac:dyDescent="0.25">
      <c r="A880" s="318"/>
      <c r="B880" s="318"/>
      <c r="C880" s="55"/>
      <c r="D880" s="563"/>
      <c r="E880" s="408"/>
      <c r="F880" s="409"/>
      <c r="G880" s="406"/>
      <c r="H880" s="407"/>
      <c r="I880" s="524"/>
      <c r="J880" s="407"/>
    </row>
    <row r="881" spans="1:10" x14ac:dyDescent="0.25">
      <c r="A881" s="318"/>
      <c r="B881" s="318"/>
      <c r="C881" s="55"/>
      <c r="D881" s="576" t="s">
        <v>331</v>
      </c>
      <c r="E881" s="408" t="s">
        <v>332</v>
      </c>
      <c r="F881" s="409">
        <v>5</v>
      </c>
      <c r="G881" s="400">
        <v>7000000</v>
      </c>
      <c r="H881" s="309">
        <v>1</v>
      </c>
      <c r="I881" s="516">
        <f>F881*G881*H881</f>
        <v>35000000</v>
      </c>
      <c r="J881" s="402"/>
    </row>
    <row r="882" spans="1:10" x14ac:dyDescent="0.25">
      <c r="A882" s="318"/>
      <c r="B882" s="318"/>
      <c r="C882" s="55"/>
      <c r="D882" s="576"/>
      <c r="E882" s="408"/>
      <c r="F882" s="409"/>
      <c r="G882" s="400"/>
      <c r="H882" s="473"/>
      <c r="I882" s="516"/>
      <c r="J882" s="402"/>
    </row>
    <row r="883" spans="1:10" x14ac:dyDescent="0.25">
      <c r="A883" s="318"/>
      <c r="B883" s="318"/>
      <c r="C883" s="55"/>
      <c r="D883" s="410"/>
      <c r="E883" s="408"/>
      <c r="F883" s="409"/>
      <c r="G883" s="400"/>
      <c r="H883" s="473"/>
      <c r="I883" s="516"/>
      <c r="J883" s="407"/>
    </row>
    <row r="884" spans="1:10" x14ac:dyDescent="0.25">
      <c r="A884" s="318"/>
      <c r="B884" s="318"/>
      <c r="C884" s="55"/>
      <c r="D884" s="405" t="s">
        <v>334</v>
      </c>
      <c r="E884" s="408"/>
      <c r="F884" s="409"/>
      <c r="G884" s="406"/>
      <c r="H884" s="407"/>
      <c r="I884" s="524"/>
      <c r="J884" s="407">
        <f>I887</f>
        <v>10000000</v>
      </c>
    </row>
    <row r="885" spans="1:10" x14ac:dyDescent="0.25">
      <c r="A885" s="318"/>
      <c r="B885" s="318"/>
      <c r="C885" s="55"/>
      <c r="D885" s="563" t="s">
        <v>335</v>
      </c>
      <c r="E885" s="408"/>
      <c r="F885" s="409"/>
      <c r="G885" s="406"/>
      <c r="H885" s="407"/>
      <c r="I885" s="524"/>
      <c r="J885" s="407"/>
    </row>
    <row r="886" spans="1:10" ht="15" customHeight="1" x14ac:dyDescent="0.25">
      <c r="A886" s="318"/>
      <c r="B886" s="318"/>
      <c r="C886" s="55"/>
      <c r="D886" s="563"/>
      <c r="E886" s="408"/>
      <c r="F886" s="409"/>
      <c r="G886" s="406"/>
      <c r="H886" s="407"/>
      <c r="I886" s="524"/>
      <c r="J886" s="407"/>
    </row>
    <row r="887" spans="1:10" x14ac:dyDescent="0.25">
      <c r="A887" s="318"/>
      <c r="B887" s="318"/>
      <c r="C887" s="55"/>
      <c r="D887" s="563" t="s">
        <v>336</v>
      </c>
      <c r="E887" s="408" t="s">
        <v>337</v>
      </c>
      <c r="F887" s="409">
        <v>1</v>
      </c>
      <c r="G887" s="411">
        <v>10000000</v>
      </c>
      <c r="H887" s="309">
        <v>1</v>
      </c>
      <c r="I887" s="516">
        <f>F887*G887*H887</f>
        <v>10000000</v>
      </c>
      <c r="J887" s="407"/>
    </row>
    <row r="888" spans="1:10" x14ac:dyDescent="0.25">
      <c r="A888" s="318"/>
      <c r="B888" s="318"/>
      <c r="C888" s="55"/>
      <c r="D888" s="563"/>
      <c r="E888" s="408"/>
      <c r="F888" s="409"/>
      <c r="G888" s="411"/>
      <c r="H888" s="400"/>
      <c r="I888" s="516"/>
      <c r="J888" s="407"/>
    </row>
    <row r="889" spans="1:10" x14ac:dyDescent="0.25">
      <c r="A889" s="318"/>
      <c r="B889" s="318"/>
      <c r="C889" s="55"/>
      <c r="D889" s="563"/>
      <c r="E889" s="408"/>
      <c r="F889" s="409"/>
      <c r="G889" s="411"/>
      <c r="H889" s="400"/>
      <c r="I889" s="516"/>
      <c r="J889" s="407"/>
    </row>
    <row r="890" spans="1:10" x14ac:dyDescent="0.25">
      <c r="A890" s="318"/>
      <c r="B890" s="318"/>
      <c r="C890" s="55"/>
      <c r="D890" s="491"/>
      <c r="E890" s="408"/>
      <c r="F890" s="409"/>
      <c r="G890" s="406"/>
      <c r="H890" s="407"/>
      <c r="I890" s="524"/>
      <c r="J890" s="407"/>
    </row>
    <row r="891" spans="1:10" x14ac:dyDescent="0.25">
      <c r="A891" s="318"/>
      <c r="B891" s="318"/>
      <c r="C891" s="55"/>
      <c r="D891" s="336" t="s">
        <v>442</v>
      </c>
      <c r="E891" s="424"/>
      <c r="F891" s="424"/>
      <c r="G891" s="425"/>
      <c r="H891" s="426"/>
      <c r="I891" s="526"/>
      <c r="J891" s="428"/>
    </row>
    <row r="892" spans="1:10" ht="148.5" x14ac:dyDescent="0.25">
      <c r="A892" s="318"/>
      <c r="B892" s="318"/>
      <c r="C892" s="55"/>
      <c r="D892" s="475" t="s">
        <v>415</v>
      </c>
      <c r="E892" s="424"/>
      <c r="F892" s="566" t="s">
        <v>416</v>
      </c>
      <c r="G892" s="567"/>
      <c r="H892" s="567"/>
      <c r="I892" s="567"/>
      <c r="J892" s="568"/>
    </row>
    <row r="893" spans="1:10" ht="51" x14ac:dyDescent="0.25">
      <c r="A893" s="318"/>
      <c r="B893" s="318"/>
      <c r="C893" s="55"/>
      <c r="D893" s="330" t="s">
        <v>417</v>
      </c>
      <c r="E893" s="429"/>
      <c r="F893" s="569"/>
      <c r="G893" s="570"/>
      <c r="H893" s="570"/>
      <c r="I893" s="570"/>
      <c r="J893" s="571"/>
    </row>
    <row r="894" spans="1:10" ht="100.5" x14ac:dyDescent="0.25">
      <c r="A894" s="318"/>
      <c r="B894" s="318"/>
      <c r="C894" s="55"/>
      <c r="D894" s="527" t="s">
        <v>418</v>
      </c>
      <c r="E894" s="430"/>
      <c r="F894" s="572"/>
      <c r="G894" s="573"/>
      <c r="H894" s="573"/>
      <c r="I894" s="573"/>
      <c r="J894" s="574"/>
    </row>
    <row r="895" spans="1:10" x14ac:dyDescent="0.25">
      <c r="A895" s="318"/>
      <c r="B895" s="318"/>
      <c r="C895" s="55"/>
      <c r="D895" s="423" t="s">
        <v>338</v>
      </c>
      <c r="E895" s="413"/>
      <c r="F895" s="414"/>
      <c r="G895" s="415"/>
      <c r="H895" s="486"/>
      <c r="I895" s="487"/>
      <c r="J895" s="418">
        <f>J716+J769+J845+J884</f>
        <v>4713570514.5864</v>
      </c>
    </row>
    <row r="896" spans="1:10" x14ac:dyDescent="0.25">
      <c r="A896" s="318"/>
      <c r="B896" s="318"/>
      <c r="C896" s="55"/>
      <c r="D896" s="528"/>
      <c r="E896" s="413"/>
      <c r="F896" s="414"/>
      <c r="G896" s="415"/>
      <c r="H896" s="486"/>
      <c r="I896" s="553"/>
      <c r="J896" s="418"/>
    </row>
    <row r="897" spans="1:10" s="698" customFormat="1" ht="33" x14ac:dyDescent="0.25">
      <c r="A897" s="690"/>
      <c r="B897" s="690"/>
      <c r="C897" s="691"/>
      <c r="D897" s="702" t="s">
        <v>446</v>
      </c>
      <c r="E897" s="692"/>
      <c r="F897" s="693"/>
      <c r="G897" s="694"/>
      <c r="H897" s="695"/>
      <c r="I897" s="696"/>
      <c r="J897" s="697">
        <f>SUM(I898:I906)</f>
        <v>8000000</v>
      </c>
    </row>
    <row r="898" spans="1:10" ht="16.5" customHeight="1" x14ac:dyDescent="0.25">
      <c r="A898" s="318"/>
      <c r="B898" s="318"/>
      <c r="C898" s="55"/>
      <c r="D898" s="564" t="s">
        <v>339</v>
      </c>
      <c r="E898" s="310" t="s">
        <v>337</v>
      </c>
      <c r="F898" s="419"/>
      <c r="G898" s="394">
        <v>5000000</v>
      </c>
      <c r="H898" s="422">
        <v>1</v>
      </c>
      <c r="I898" s="525">
        <f>G898*H898</f>
        <v>5000000</v>
      </c>
      <c r="J898" s="326"/>
    </row>
    <row r="899" spans="1:10" x14ac:dyDescent="0.25">
      <c r="A899" s="318"/>
      <c r="B899" s="318"/>
      <c r="C899" s="55"/>
      <c r="D899" s="564"/>
      <c r="E899" s="310"/>
      <c r="F899" s="419"/>
      <c r="G899" s="394"/>
      <c r="H899" s="422"/>
      <c r="I899" s="525"/>
      <c r="J899" s="326"/>
    </row>
    <row r="900" spans="1:10" x14ac:dyDescent="0.25">
      <c r="A900" s="318"/>
      <c r="B900" s="318"/>
      <c r="C900" s="55"/>
      <c r="D900" s="564"/>
      <c r="E900" s="310"/>
      <c r="F900" s="419"/>
      <c r="G900" s="394"/>
      <c r="H900" s="422"/>
      <c r="I900" s="525"/>
      <c r="J900" s="326"/>
    </row>
    <row r="901" spans="1:10" ht="16.5" customHeight="1" x14ac:dyDescent="0.25">
      <c r="A901" s="318"/>
      <c r="B901" s="318"/>
      <c r="C901" s="55"/>
      <c r="D901" s="565" t="s">
        <v>340</v>
      </c>
      <c r="E901" s="310"/>
      <c r="F901" s="419"/>
      <c r="G901" s="394"/>
      <c r="H901" s="422"/>
      <c r="I901" s="525"/>
      <c r="J901" s="326"/>
    </row>
    <row r="902" spans="1:10" x14ac:dyDescent="0.25">
      <c r="A902" s="318"/>
      <c r="B902" s="318"/>
      <c r="C902" s="55"/>
      <c r="D902" s="565"/>
      <c r="E902" s="310"/>
      <c r="F902" s="419"/>
      <c r="G902" s="394"/>
      <c r="H902" s="422"/>
      <c r="I902" s="525"/>
      <c r="J902" s="326"/>
    </row>
    <row r="903" spans="1:10" ht="16.5" customHeight="1" x14ac:dyDescent="0.25">
      <c r="A903" s="318"/>
      <c r="B903" s="318"/>
      <c r="C903" s="55"/>
      <c r="D903" s="564" t="s">
        <v>341</v>
      </c>
      <c r="E903" s="310" t="s">
        <v>337</v>
      </c>
      <c r="F903" s="419"/>
      <c r="G903" s="394">
        <v>3000000</v>
      </c>
      <c r="H903" s="422">
        <v>1</v>
      </c>
      <c r="I903" s="525">
        <f>G903*H903</f>
        <v>3000000</v>
      </c>
      <c r="J903" s="326"/>
    </row>
    <row r="904" spans="1:10" x14ac:dyDescent="0.25">
      <c r="A904" s="318"/>
      <c r="B904" s="318"/>
      <c r="C904" s="55"/>
      <c r="D904" s="564"/>
      <c r="E904" s="310"/>
      <c r="F904" s="419"/>
      <c r="G904" s="394"/>
      <c r="H904" s="422"/>
      <c r="I904" s="525"/>
      <c r="J904" s="326"/>
    </row>
    <row r="905" spans="1:10" x14ac:dyDescent="0.25">
      <c r="A905" s="318"/>
      <c r="B905" s="318"/>
      <c r="C905" s="55"/>
      <c r="D905" s="564"/>
      <c r="E905" s="310"/>
      <c r="F905" s="419"/>
      <c r="G905" s="394"/>
      <c r="H905" s="422"/>
      <c r="I905" s="525"/>
      <c r="J905" s="326"/>
    </row>
    <row r="906" spans="1:10" ht="16.5" customHeight="1" x14ac:dyDescent="0.25">
      <c r="A906" s="318"/>
      <c r="B906" s="318"/>
      <c r="C906" s="55"/>
      <c r="D906" s="565" t="s">
        <v>342</v>
      </c>
      <c r="E906" s="310"/>
      <c r="F906" s="419"/>
      <c r="G906" s="394"/>
      <c r="H906" s="422"/>
      <c r="I906" s="525"/>
      <c r="J906" s="326"/>
    </row>
    <row r="907" spans="1:10" x14ac:dyDescent="0.25">
      <c r="A907" s="318"/>
      <c r="B907" s="318"/>
      <c r="C907" s="55"/>
      <c r="D907" s="565"/>
      <c r="E907" s="310"/>
      <c r="F907" s="419"/>
      <c r="G907" s="394"/>
      <c r="H907" s="422"/>
      <c r="I907" s="525"/>
      <c r="J907" s="326"/>
    </row>
    <row r="908" spans="1:10" x14ac:dyDescent="0.25">
      <c r="A908" s="318"/>
      <c r="B908" s="318"/>
      <c r="C908" s="55"/>
      <c r="D908" s="547"/>
      <c r="E908" s="310"/>
      <c r="F908" s="551"/>
      <c r="G908" s="394"/>
      <c r="H908" s="422"/>
      <c r="I908" s="525"/>
      <c r="J908" s="552"/>
    </row>
    <row r="909" spans="1:10" x14ac:dyDescent="0.25">
      <c r="A909" s="318"/>
      <c r="B909" s="318"/>
      <c r="C909" s="55"/>
      <c r="D909" s="547"/>
      <c r="E909" s="310"/>
      <c r="F909" s="551"/>
      <c r="G909" s="394"/>
      <c r="H909" s="422"/>
      <c r="I909" s="525"/>
      <c r="J909" s="552"/>
    </row>
    <row r="910" spans="1:10" s="442" customFormat="1" x14ac:dyDescent="0.25">
      <c r="A910" s="431"/>
      <c r="B910" s="431"/>
      <c r="C910" s="709"/>
      <c r="D910" s="710"/>
      <c r="E910" s="703"/>
      <c r="F910" s="711"/>
      <c r="G910" s="705"/>
      <c r="H910" s="706"/>
      <c r="I910" s="712"/>
      <c r="J910" s="713"/>
    </row>
    <row r="911" spans="1:10" x14ac:dyDescent="0.25">
      <c r="A911" s="540">
        <v>6</v>
      </c>
      <c r="B911" s="578" t="s">
        <v>430</v>
      </c>
      <c r="C911" s="607" t="s">
        <v>425</v>
      </c>
      <c r="D911" s="296" t="s">
        <v>11</v>
      </c>
      <c r="E911" s="298"/>
      <c r="F911" s="477"/>
      <c r="G911" s="306"/>
      <c r="H911" s="448"/>
      <c r="I911" s="306"/>
      <c r="J911" s="302">
        <f>I934</f>
        <v>99348300.000000015</v>
      </c>
    </row>
    <row r="912" spans="1:10" x14ac:dyDescent="0.25">
      <c r="A912" s="446"/>
      <c r="B912" s="579"/>
      <c r="C912" s="608"/>
      <c r="D912" s="296" t="s">
        <v>426</v>
      </c>
      <c r="E912" s="298" t="s">
        <v>12</v>
      </c>
      <c r="F912" s="476">
        <v>150.30000000000001</v>
      </c>
      <c r="G912" s="306"/>
      <c r="H912" s="448"/>
      <c r="I912" s="306"/>
      <c r="J912" s="306"/>
    </row>
    <row r="913" spans="1:10" x14ac:dyDescent="0.25">
      <c r="A913" s="449"/>
      <c r="B913" s="579"/>
      <c r="C913" s="608"/>
      <c r="D913" s="307" t="s">
        <v>13</v>
      </c>
      <c r="E913" s="298" t="s">
        <v>12</v>
      </c>
      <c r="F913" s="531">
        <v>150.30000000000001</v>
      </c>
      <c r="G913" s="306"/>
      <c r="H913" s="450"/>
      <c r="I913" s="306"/>
      <c r="J913" s="302"/>
    </row>
    <row r="914" spans="1:10" x14ac:dyDescent="0.25">
      <c r="A914" s="449"/>
      <c r="B914" s="579"/>
      <c r="C914" s="608"/>
      <c r="D914" s="307" t="s">
        <v>14</v>
      </c>
      <c r="E914" s="298" t="s">
        <v>12</v>
      </c>
      <c r="F914" s="477">
        <f>SUM(F912-F913)</f>
        <v>0</v>
      </c>
      <c r="G914" s="306"/>
      <c r="H914" s="450"/>
      <c r="I914" s="306"/>
      <c r="J914" s="306"/>
    </row>
    <row r="915" spans="1:10" x14ac:dyDescent="0.25">
      <c r="A915" s="449"/>
      <c r="B915" s="579"/>
      <c r="C915" s="608"/>
      <c r="D915" s="351" t="s">
        <v>62</v>
      </c>
      <c r="E915" s="298" t="s">
        <v>21</v>
      </c>
      <c r="F915" s="451">
        <f>F913/F912*100%</f>
        <v>1</v>
      </c>
      <c r="G915" s="306"/>
      <c r="H915" s="450"/>
      <c r="I915" s="306"/>
      <c r="J915" s="306"/>
    </row>
    <row r="916" spans="1:10" x14ac:dyDescent="0.25">
      <c r="A916" s="449"/>
      <c r="B916" s="579"/>
      <c r="C916" s="608"/>
      <c r="D916" s="339"/>
      <c r="E916" s="304"/>
      <c r="F916" s="452"/>
      <c r="G916" s="299"/>
      <c r="H916" s="309"/>
      <c r="I916" s="329"/>
      <c r="J916" s="306"/>
    </row>
    <row r="917" spans="1:10" x14ac:dyDescent="0.25">
      <c r="A917" s="449"/>
      <c r="B917" s="579"/>
      <c r="C917" s="343"/>
      <c r="D917" s="296" t="s">
        <v>420</v>
      </c>
      <c r="E917" s="304"/>
      <c r="F917" s="447"/>
      <c r="G917" s="353"/>
      <c r="H917" s="309"/>
      <c r="I917" s="353"/>
      <c r="J917" s="382"/>
    </row>
    <row r="918" spans="1:10" x14ac:dyDescent="0.25">
      <c r="A918" s="449"/>
      <c r="B918" s="579"/>
      <c r="C918" s="355" t="s">
        <v>431</v>
      </c>
      <c r="D918" s="601" t="s">
        <v>443</v>
      </c>
      <c r="E918" s="298"/>
      <c r="F918" s="298"/>
      <c r="G918" s="329"/>
      <c r="H918" s="309"/>
      <c r="I918" s="329"/>
      <c r="J918" s="302"/>
    </row>
    <row r="919" spans="1:10" x14ac:dyDescent="0.25">
      <c r="A919" s="449"/>
      <c r="B919" s="579"/>
      <c r="C919" s="606" t="s">
        <v>432</v>
      </c>
      <c r="D919" s="601"/>
      <c r="E919" s="298"/>
      <c r="F919" s="298"/>
      <c r="G919" s="329"/>
      <c r="H919" s="309"/>
      <c r="I919" s="329"/>
      <c r="J919" s="302"/>
    </row>
    <row r="920" spans="1:10" x14ac:dyDescent="0.25">
      <c r="A920" s="449"/>
      <c r="B920" s="579"/>
      <c r="C920" s="606"/>
      <c r="D920" s="601"/>
      <c r="E920" s="298"/>
      <c r="F920" s="298"/>
      <c r="G920" s="329"/>
      <c r="H920" s="309"/>
      <c r="I920" s="329"/>
      <c r="J920" s="302"/>
    </row>
    <row r="921" spans="1:10" x14ac:dyDescent="0.25">
      <c r="A921" s="449"/>
      <c r="B921" s="579"/>
      <c r="C921" s="606"/>
      <c r="D921" s="601"/>
      <c r="E921" s="298"/>
      <c r="F921" s="298"/>
      <c r="G921" s="329"/>
      <c r="H921" s="309"/>
      <c r="I921" s="329"/>
      <c r="J921" s="302"/>
    </row>
    <row r="922" spans="1:10" x14ac:dyDescent="0.25">
      <c r="A922" s="449"/>
      <c r="B922" s="579"/>
      <c r="C922" s="355"/>
      <c r="D922" s="601"/>
      <c r="E922" s="298"/>
      <c r="F922" s="298"/>
      <c r="G922" s="329"/>
      <c r="H922" s="309"/>
      <c r="I922" s="329"/>
      <c r="J922" s="302"/>
    </row>
    <row r="923" spans="1:10" x14ac:dyDescent="0.25">
      <c r="A923" s="449"/>
      <c r="B923" s="579"/>
      <c r="C923" s="355"/>
      <c r="D923" s="601"/>
      <c r="E923" s="298"/>
      <c r="F923" s="298"/>
      <c r="G923" s="329"/>
      <c r="H923" s="309"/>
      <c r="I923" s="329"/>
      <c r="J923" s="302"/>
    </row>
    <row r="924" spans="1:10" x14ac:dyDescent="0.25">
      <c r="A924" s="449"/>
      <c r="B924" s="579"/>
      <c r="C924" s="355"/>
      <c r="D924" s="601"/>
      <c r="E924" s="298"/>
      <c r="F924" s="298"/>
      <c r="G924" s="329"/>
      <c r="H924" s="309"/>
      <c r="I924" s="329"/>
      <c r="J924" s="302"/>
    </row>
    <row r="925" spans="1:10" x14ac:dyDescent="0.25">
      <c r="A925" s="449"/>
      <c r="B925" s="579"/>
      <c r="C925" s="355"/>
      <c r="D925" s="601"/>
      <c r="E925" s="297"/>
      <c r="F925" s="346"/>
      <c r="G925" s="297"/>
      <c r="H925" s="297"/>
      <c r="I925" s="453"/>
      <c r="J925" s="317"/>
    </row>
    <row r="926" spans="1:10" x14ac:dyDescent="0.25">
      <c r="A926" s="449"/>
      <c r="B926" s="579"/>
      <c r="C926" s="351"/>
      <c r="D926" s="601"/>
      <c r="E926" s="297"/>
      <c r="F926" s="346"/>
      <c r="G926" s="297"/>
      <c r="H926" s="297"/>
      <c r="I926" s="453"/>
      <c r="J926" s="317"/>
    </row>
    <row r="927" spans="1:10" x14ac:dyDescent="0.25">
      <c r="A927" s="449"/>
      <c r="B927" s="579"/>
      <c r="C927" s="351"/>
      <c r="D927" s="601"/>
      <c r="E927" s="460"/>
      <c r="F927" s="346"/>
      <c r="G927" s="297"/>
      <c r="H927" s="297"/>
      <c r="I927" s="453"/>
      <c r="J927" s="317"/>
    </row>
    <row r="928" spans="1:10" x14ac:dyDescent="0.25">
      <c r="A928" s="449"/>
      <c r="B928" s="579"/>
      <c r="C928" s="351"/>
      <c r="D928" s="601"/>
      <c r="E928" s="460"/>
      <c r="F928" s="346"/>
      <c r="G928" s="297"/>
      <c r="H928" s="297"/>
      <c r="I928" s="453"/>
      <c r="J928" s="317"/>
    </row>
    <row r="929" spans="1:10" x14ac:dyDescent="0.25">
      <c r="A929" s="449"/>
      <c r="B929" s="579"/>
      <c r="C929" s="355"/>
      <c r="D929" s="601"/>
      <c r="E929" s="478"/>
      <c r="F929" s="454"/>
      <c r="G929" s="334"/>
      <c r="H929" s="334"/>
      <c r="I929" s="455"/>
      <c r="J929" s="317"/>
    </row>
    <row r="930" spans="1:10" x14ac:dyDescent="0.25">
      <c r="A930" s="449"/>
      <c r="B930" s="295"/>
      <c r="C930" s="355"/>
      <c r="D930" s="601"/>
      <c r="E930" s="478"/>
      <c r="F930" s="454"/>
      <c r="G930" s="334"/>
      <c r="H930" s="334"/>
      <c r="I930" s="455"/>
      <c r="J930" s="317"/>
    </row>
    <row r="931" spans="1:10" x14ac:dyDescent="0.25">
      <c r="A931" s="449"/>
      <c r="B931" s="445"/>
      <c r="C931" s="355"/>
      <c r="D931" s="601"/>
      <c r="E931" s="478"/>
      <c r="F931" s="454"/>
      <c r="G931" s="334"/>
      <c r="H931" s="334"/>
      <c r="I931" s="455"/>
      <c r="J931" s="317"/>
    </row>
    <row r="932" spans="1:10" x14ac:dyDescent="0.25">
      <c r="A932" s="449"/>
      <c r="B932" s="445"/>
      <c r="C932" s="355"/>
      <c r="D932" s="601"/>
      <c r="E932" s="478"/>
      <c r="F932" s="454"/>
      <c r="G932" s="334"/>
      <c r="H932" s="334"/>
      <c r="I932" s="455"/>
      <c r="J932" s="317"/>
    </row>
    <row r="933" spans="1:10" x14ac:dyDescent="0.25">
      <c r="A933" s="449"/>
      <c r="B933" s="295"/>
      <c r="C933" s="355"/>
      <c r="D933" s="601"/>
      <c r="E933" s="478"/>
      <c r="F933" s="454"/>
      <c r="G933" s="334"/>
      <c r="H933" s="334"/>
      <c r="I933" s="455"/>
      <c r="J933" s="317"/>
    </row>
    <row r="934" spans="1:10" ht="17.25" x14ac:dyDescent="0.25">
      <c r="A934" s="449"/>
      <c r="B934" s="295"/>
      <c r="C934" s="355"/>
      <c r="D934" s="328" t="s">
        <v>166</v>
      </c>
      <c r="E934" s="297" t="s">
        <v>12</v>
      </c>
      <c r="F934" s="298">
        <f>F913</f>
        <v>150.30000000000001</v>
      </c>
      <c r="G934" s="329">
        <v>661000</v>
      </c>
      <c r="H934" s="463">
        <v>1</v>
      </c>
      <c r="I934" s="329">
        <f>H934*G934*F934</f>
        <v>99348300.000000015</v>
      </c>
      <c r="J934" s="479"/>
    </row>
    <row r="935" spans="1:10" x14ac:dyDescent="0.25">
      <c r="A935" s="449"/>
      <c r="B935" s="295"/>
      <c r="C935" s="355"/>
      <c r="D935" s="592" t="s">
        <v>349</v>
      </c>
      <c r="E935" s="297"/>
      <c r="F935" s="479"/>
      <c r="G935" s="479"/>
      <c r="H935" s="479"/>
      <c r="I935" s="480"/>
      <c r="J935" s="479"/>
    </row>
    <row r="936" spans="1:10" x14ac:dyDescent="0.25">
      <c r="A936" s="449"/>
      <c r="B936" s="295"/>
      <c r="C936" s="355"/>
      <c r="D936" s="592"/>
      <c r="E936" s="479"/>
      <c r="F936" s="479"/>
      <c r="G936" s="479"/>
      <c r="H936" s="479"/>
      <c r="I936" s="480"/>
      <c r="J936" s="479"/>
    </row>
    <row r="937" spans="1:10" x14ac:dyDescent="0.25">
      <c r="A937" s="449"/>
      <c r="B937" s="295"/>
      <c r="C937" s="355"/>
      <c r="D937" s="384"/>
      <c r="E937" s="478"/>
      <c r="F937" s="454"/>
      <c r="G937" s="334"/>
      <c r="H937" s="334"/>
      <c r="I937" s="455"/>
      <c r="J937" s="317"/>
    </row>
    <row r="938" spans="1:10" x14ac:dyDescent="0.25">
      <c r="A938" s="449"/>
      <c r="B938" s="295"/>
      <c r="C938" s="355"/>
      <c r="D938" s="296" t="s">
        <v>15</v>
      </c>
      <c r="E938" s="297"/>
      <c r="F938" s="298"/>
      <c r="G938" s="306"/>
      <c r="H938" s="450"/>
      <c r="I938" s="306"/>
      <c r="J938" s="302">
        <f>I939+I960+I962</f>
        <v>30059725.399999999</v>
      </c>
    </row>
    <row r="939" spans="1:10" x14ac:dyDescent="0.25">
      <c r="A939" s="449"/>
      <c r="B939" s="295"/>
      <c r="C939" s="355"/>
      <c r="D939" s="296" t="s">
        <v>16</v>
      </c>
      <c r="E939" s="297"/>
      <c r="F939" s="298"/>
      <c r="G939" s="306"/>
      <c r="H939" s="354"/>
      <c r="I939" s="302">
        <f>I952</f>
        <v>27807725.399999999</v>
      </c>
      <c r="J939" s="306"/>
    </row>
    <row r="940" spans="1:10" x14ac:dyDescent="0.25">
      <c r="A940" s="449"/>
      <c r="B940" s="295"/>
      <c r="C940" s="355"/>
      <c r="D940" s="601" t="s">
        <v>368</v>
      </c>
      <c r="E940" s="478"/>
      <c r="F940" s="454"/>
      <c r="G940" s="334"/>
      <c r="H940" s="334"/>
      <c r="I940" s="455"/>
      <c r="J940" s="317"/>
    </row>
    <row r="941" spans="1:10" x14ac:dyDescent="0.25">
      <c r="A941" s="449"/>
      <c r="B941" s="295"/>
      <c r="C941" s="355"/>
      <c r="D941" s="601"/>
      <c r="E941" s="478"/>
      <c r="F941" s="454"/>
      <c r="G941" s="334"/>
      <c r="H941" s="334"/>
      <c r="I941" s="455"/>
      <c r="J941" s="317"/>
    </row>
    <row r="942" spans="1:10" x14ac:dyDescent="0.25">
      <c r="A942" s="449"/>
      <c r="B942" s="295"/>
      <c r="C942" s="355"/>
      <c r="D942" s="601"/>
      <c r="E942" s="478"/>
      <c r="F942" s="454"/>
      <c r="G942" s="334"/>
      <c r="H942" s="334"/>
      <c r="I942" s="455"/>
      <c r="J942" s="317"/>
    </row>
    <row r="943" spans="1:10" x14ac:dyDescent="0.25">
      <c r="A943" s="449"/>
      <c r="B943" s="295"/>
      <c r="C943" s="355"/>
      <c r="D943" s="601"/>
      <c r="E943" s="478"/>
      <c r="F943" s="454"/>
      <c r="G943" s="334"/>
      <c r="H943" s="334"/>
      <c r="I943" s="455"/>
      <c r="J943" s="317"/>
    </row>
    <row r="944" spans="1:10" x14ac:dyDescent="0.25">
      <c r="A944" s="449"/>
      <c r="B944" s="295"/>
      <c r="C944" s="355"/>
      <c r="D944" s="601"/>
      <c r="E944" s="478"/>
      <c r="F944" s="454"/>
      <c r="G944" s="334"/>
      <c r="H944" s="334"/>
      <c r="I944" s="455"/>
      <c r="J944" s="317"/>
    </row>
    <row r="945" spans="1:10" x14ac:dyDescent="0.25">
      <c r="A945" s="449"/>
      <c r="B945" s="295"/>
      <c r="C945" s="355"/>
      <c r="D945" s="601"/>
      <c r="E945" s="478"/>
      <c r="F945" s="454"/>
      <c r="G945" s="334"/>
      <c r="H945" s="334"/>
      <c r="I945" s="455"/>
      <c r="J945" s="317"/>
    </row>
    <row r="946" spans="1:10" x14ac:dyDescent="0.25">
      <c r="A946" s="449"/>
      <c r="B946" s="295"/>
      <c r="C946" s="355"/>
      <c r="D946" s="601"/>
      <c r="E946" s="478"/>
      <c r="F946" s="454"/>
      <c r="G946" s="334"/>
      <c r="H946" s="334"/>
      <c r="I946" s="455"/>
      <c r="J946" s="317"/>
    </row>
    <row r="947" spans="1:10" x14ac:dyDescent="0.25">
      <c r="A947" s="449"/>
      <c r="B947" s="295"/>
      <c r="C947" s="355"/>
      <c r="D947" s="592" t="s">
        <v>168</v>
      </c>
      <c r="E947" s="478"/>
      <c r="F947" s="454"/>
      <c r="G947" s="334"/>
      <c r="H947" s="334"/>
      <c r="I947" s="455"/>
      <c r="J947" s="317"/>
    </row>
    <row r="948" spans="1:10" x14ac:dyDescent="0.25">
      <c r="A948" s="449"/>
      <c r="B948" s="295"/>
      <c r="C948" s="355"/>
      <c r="D948" s="592"/>
      <c r="E948" s="478"/>
      <c r="F948" s="454"/>
      <c r="G948" s="334"/>
      <c r="H948" s="334"/>
      <c r="I948" s="455"/>
      <c r="J948" s="317"/>
    </row>
    <row r="949" spans="1:10" x14ac:dyDescent="0.25">
      <c r="A949" s="449"/>
      <c r="B949" s="295"/>
      <c r="C949" s="355"/>
      <c r="D949" s="592"/>
      <c r="E949" s="478"/>
      <c r="F949" s="454"/>
      <c r="G949" s="334"/>
      <c r="H949" s="334"/>
      <c r="I949" s="455"/>
      <c r="J949" s="317"/>
    </row>
    <row r="950" spans="1:10" x14ac:dyDescent="0.25">
      <c r="A950" s="449"/>
      <c r="B950" s="295"/>
      <c r="C950" s="355"/>
      <c r="D950" s="592"/>
      <c r="E950" s="478"/>
      <c r="F950" s="454"/>
      <c r="G950" s="334"/>
      <c r="H950" s="334"/>
      <c r="I950" s="455"/>
      <c r="J950" s="317"/>
    </row>
    <row r="951" spans="1:10" x14ac:dyDescent="0.25">
      <c r="A951" s="449"/>
      <c r="B951" s="295"/>
      <c r="C951" s="355"/>
      <c r="D951" s="592"/>
      <c r="E951" s="478"/>
      <c r="F951" s="454"/>
      <c r="G951" s="334"/>
      <c r="H951" s="334"/>
      <c r="I951" s="455"/>
      <c r="J951" s="317"/>
    </row>
    <row r="952" spans="1:10" x14ac:dyDescent="0.25">
      <c r="A952" s="449"/>
      <c r="B952" s="436"/>
      <c r="C952" s="355"/>
      <c r="D952" s="307" t="s">
        <v>369</v>
      </c>
      <c r="E952" s="297" t="s">
        <v>193</v>
      </c>
      <c r="F952" s="298">
        <v>70</v>
      </c>
      <c r="G952" s="306">
        <f>366132*(1+0.085)</f>
        <v>397253.22</v>
      </c>
      <c r="H952" s="354">
        <v>1</v>
      </c>
      <c r="I952" s="302">
        <f>+F952*G952*H952</f>
        <v>27807725.399999999</v>
      </c>
      <c r="J952" s="306"/>
    </row>
    <row r="953" spans="1:10" x14ac:dyDescent="0.25">
      <c r="A953" s="449"/>
      <c r="B953" s="436"/>
      <c r="C953" s="355"/>
      <c r="D953" s="601" t="s">
        <v>370</v>
      </c>
      <c r="E953" s="297"/>
      <c r="F953" s="298"/>
      <c r="G953" s="306"/>
      <c r="H953" s="354"/>
      <c r="I953" s="302"/>
      <c r="J953" s="306"/>
    </row>
    <row r="954" spans="1:10" x14ac:dyDescent="0.25">
      <c r="A954" s="449"/>
      <c r="B954" s="436"/>
      <c r="C954" s="355"/>
      <c r="D954" s="601"/>
      <c r="E954" s="297"/>
      <c r="F954" s="298"/>
      <c r="G954" s="306"/>
      <c r="H954" s="354"/>
      <c r="I954" s="302"/>
      <c r="J954" s="306"/>
    </row>
    <row r="955" spans="1:10" x14ac:dyDescent="0.25">
      <c r="A955" s="449"/>
      <c r="B955" s="436"/>
      <c r="C955" s="355"/>
      <c r="D955" s="601"/>
      <c r="E955" s="297"/>
      <c r="F955" s="298"/>
      <c r="G955" s="306"/>
      <c r="H955" s="354"/>
      <c r="I955" s="302"/>
      <c r="J955" s="306"/>
    </row>
    <row r="956" spans="1:10" x14ac:dyDescent="0.25">
      <c r="A956" s="449"/>
      <c r="B956" s="436"/>
      <c r="C956" s="355"/>
      <c r="D956" s="601"/>
      <c r="E956" s="297"/>
      <c r="F956" s="298"/>
      <c r="G956" s="306"/>
      <c r="H956" s="354"/>
      <c r="I956" s="302"/>
      <c r="J956" s="306"/>
    </row>
    <row r="957" spans="1:10" x14ac:dyDescent="0.25">
      <c r="A957" s="449"/>
      <c r="B957" s="436"/>
      <c r="C957" s="355"/>
      <c r="D957" s="601"/>
      <c r="E957" s="297"/>
      <c r="F957" s="298"/>
      <c r="G957" s="306"/>
      <c r="H957" s="354"/>
      <c r="I957" s="302"/>
      <c r="J957" s="306"/>
    </row>
    <row r="958" spans="1:10" x14ac:dyDescent="0.25">
      <c r="A958" s="449"/>
      <c r="B958" s="436"/>
      <c r="C958" s="355"/>
      <c r="D958" s="601"/>
      <c r="E958" s="297"/>
      <c r="F958" s="298"/>
      <c r="G958" s="306"/>
      <c r="H958" s="354"/>
      <c r="I958" s="302"/>
      <c r="J958" s="306"/>
    </row>
    <row r="959" spans="1:10" x14ac:dyDescent="0.25">
      <c r="A959" s="449"/>
      <c r="B959" s="436"/>
      <c r="C959" s="355"/>
      <c r="D959" s="296"/>
      <c r="E959" s="297"/>
      <c r="F959" s="298"/>
      <c r="G959" s="306"/>
      <c r="H959" s="354"/>
      <c r="I959" s="302"/>
      <c r="J959" s="306"/>
    </row>
    <row r="960" spans="1:10" x14ac:dyDescent="0.25">
      <c r="A960" s="449"/>
      <c r="B960" s="436"/>
      <c r="C960" s="332"/>
      <c r="D960" s="376" t="s">
        <v>25</v>
      </c>
      <c r="E960" s="297"/>
      <c r="F960" s="362"/>
      <c r="G960" s="363"/>
      <c r="H960" s="364"/>
      <c r="I960" s="365">
        <f>+SUM(I968:I973)</f>
        <v>2252000</v>
      </c>
      <c r="J960" s="456"/>
    </row>
    <row r="961" spans="1:10" x14ac:dyDescent="0.25">
      <c r="A961" s="449"/>
      <c r="B961" s="436"/>
      <c r="C961" s="332"/>
      <c r="D961" s="481" t="s">
        <v>60</v>
      </c>
      <c r="E961" s="297"/>
      <c r="F961" s="299"/>
      <c r="G961" s="482"/>
      <c r="H961" s="483"/>
      <c r="I961" s="482"/>
      <c r="J961" s="483"/>
    </row>
    <row r="962" spans="1:10" x14ac:dyDescent="0.25">
      <c r="A962" s="449"/>
      <c r="B962" s="436"/>
      <c r="C962" s="332"/>
      <c r="D962" s="602" t="s">
        <v>371</v>
      </c>
      <c r="E962" s="297"/>
      <c r="F962" s="298"/>
      <c r="G962" s="381"/>
      <c r="H962" s="382"/>
      <c r="I962" s="381"/>
      <c r="J962" s="317"/>
    </row>
    <row r="963" spans="1:10" x14ac:dyDescent="0.25">
      <c r="A963" s="449"/>
      <c r="B963" s="436"/>
      <c r="C963" s="332"/>
      <c r="D963" s="602"/>
      <c r="E963" s="297"/>
      <c r="F963" s="298"/>
      <c r="G963" s="381"/>
      <c r="H963" s="382"/>
      <c r="I963" s="381"/>
      <c r="J963" s="317"/>
    </row>
    <row r="964" spans="1:10" x14ac:dyDescent="0.25">
      <c r="A964" s="449"/>
      <c r="B964" s="436"/>
      <c r="C964" s="332"/>
      <c r="D964" s="602"/>
      <c r="E964" s="297"/>
      <c r="F964" s="298"/>
      <c r="G964" s="381"/>
      <c r="H964" s="382"/>
      <c r="I964" s="381"/>
      <c r="J964" s="317"/>
    </row>
    <row r="965" spans="1:10" x14ac:dyDescent="0.25">
      <c r="A965" s="449"/>
      <c r="B965" s="436"/>
      <c r="C965" s="332"/>
      <c r="D965" s="602"/>
      <c r="E965" s="297"/>
      <c r="F965" s="298"/>
      <c r="G965" s="381"/>
      <c r="H965" s="382"/>
      <c r="I965" s="381"/>
      <c r="J965" s="317"/>
    </row>
    <row r="966" spans="1:10" x14ac:dyDescent="0.25">
      <c r="A966" s="449"/>
      <c r="B966" s="436"/>
      <c r="C966" s="332"/>
      <c r="D966" s="602"/>
      <c r="E966" s="297"/>
      <c r="F966" s="298"/>
      <c r="G966" s="381"/>
      <c r="H966" s="382"/>
      <c r="I966" s="381"/>
      <c r="J966" s="317"/>
    </row>
    <row r="967" spans="1:10" x14ac:dyDescent="0.25">
      <c r="A967" s="449"/>
      <c r="B967" s="436"/>
      <c r="C967" s="332"/>
      <c r="D967" s="602"/>
      <c r="E967" s="297"/>
      <c r="F967" s="298"/>
      <c r="G967" s="381"/>
      <c r="H967" s="382"/>
      <c r="I967" s="381"/>
      <c r="J967" s="317"/>
    </row>
    <row r="968" spans="1:10" x14ac:dyDescent="0.25">
      <c r="A968" s="449"/>
      <c r="B968" s="436"/>
      <c r="C968" s="332"/>
      <c r="D968" s="470" t="s">
        <v>372</v>
      </c>
      <c r="E968" s="297" t="s">
        <v>61</v>
      </c>
      <c r="F968" s="484">
        <v>8</v>
      </c>
      <c r="G968" s="353">
        <v>115000</v>
      </c>
      <c r="H968" s="342">
        <v>1</v>
      </c>
      <c r="I968" s="353">
        <f>+F968*G968*H968</f>
        <v>920000</v>
      </c>
      <c r="J968" s="317"/>
    </row>
    <row r="969" spans="1:10" x14ac:dyDescent="0.25">
      <c r="A969" s="449"/>
      <c r="B969" s="436"/>
      <c r="C969" s="332"/>
      <c r="D969" s="470" t="s">
        <v>147</v>
      </c>
      <c r="E969" s="297" t="s">
        <v>61</v>
      </c>
      <c r="F969" s="484">
        <v>6</v>
      </c>
      <c r="G969" s="353">
        <v>169000</v>
      </c>
      <c r="H969" s="342">
        <v>1</v>
      </c>
      <c r="I969" s="353">
        <f>+F969*G969*H969</f>
        <v>1014000</v>
      </c>
      <c r="J969" s="317"/>
    </row>
    <row r="970" spans="1:10" x14ac:dyDescent="0.25">
      <c r="A970" s="449"/>
      <c r="B970" s="436"/>
      <c r="C970" s="332"/>
      <c r="D970" s="379" t="s">
        <v>373</v>
      </c>
      <c r="E970" s="297"/>
      <c r="F970" s="484"/>
      <c r="G970" s="353"/>
      <c r="H970" s="342"/>
      <c r="I970" s="353"/>
      <c r="J970" s="317"/>
    </row>
    <row r="971" spans="1:10" x14ac:dyDescent="0.25">
      <c r="A971" s="449"/>
      <c r="B971" s="436"/>
      <c r="C971" s="332"/>
      <c r="D971" s="470" t="s">
        <v>374</v>
      </c>
      <c r="E971" s="297" t="s">
        <v>61</v>
      </c>
      <c r="F971" s="484">
        <v>1</v>
      </c>
      <c r="G971" s="353">
        <v>53000</v>
      </c>
      <c r="H971" s="342">
        <v>1</v>
      </c>
      <c r="I971" s="353">
        <f>+F971*G971*H971</f>
        <v>53000</v>
      </c>
      <c r="J971" s="317"/>
    </row>
    <row r="972" spans="1:10" x14ac:dyDescent="0.25">
      <c r="A972" s="449"/>
      <c r="B972" s="436"/>
      <c r="C972" s="332"/>
      <c r="D972" s="379" t="s">
        <v>375</v>
      </c>
      <c r="E972" s="297"/>
      <c r="F972" s="484"/>
      <c r="G972" s="353"/>
      <c r="H972" s="342"/>
      <c r="I972" s="353"/>
      <c r="J972" s="317"/>
    </row>
    <row r="973" spans="1:10" x14ac:dyDescent="0.25">
      <c r="A973" s="449"/>
      <c r="B973" s="436"/>
      <c r="C973" s="332"/>
      <c r="D973" s="470" t="s">
        <v>376</v>
      </c>
      <c r="E973" s="297" t="s">
        <v>61</v>
      </c>
      <c r="F973" s="484">
        <v>5</v>
      </c>
      <c r="G973" s="353">
        <v>53000</v>
      </c>
      <c r="H973" s="342">
        <v>1</v>
      </c>
      <c r="I973" s="353">
        <f>+F973*G973*H973</f>
        <v>265000</v>
      </c>
      <c r="J973" s="317"/>
    </row>
    <row r="974" spans="1:10" x14ac:dyDescent="0.25">
      <c r="A974" s="449"/>
      <c r="B974" s="436"/>
      <c r="C974" s="332"/>
      <c r="D974" s="295"/>
      <c r="E974" s="297"/>
      <c r="F974" s="298"/>
      <c r="G974" s="381"/>
      <c r="H974" s="382"/>
      <c r="I974" s="353"/>
      <c r="J974" s="317"/>
    </row>
    <row r="975" spans="1:10" x14ac:dyDescent="0.25">
      <c r="A975" s="449"/>
      <c r="B975" s="436"/>
      <c r="C975" s="332"/>
      <c r="D975" s="436" t="s">
        <v>365</v>
      </c>
      <c r="E975" s="297"/>
      <c r="F975" s="360"/>
      <c r="G975" s="336"/>
      <c r="H975" s="336"/>
      <c r="I975" s="458"/>
      <c r="J975" s="375">
        <f>SUM(I976:I1000)</f>
        <v>29186280</v>
      </c>
    </row>
    <row r="976" spans="1:10" x14ac:dyDescent="0.25">
      <c r="A976" s="449"/>
      <c r="B976" s="436"/>
      <c r="C976" s="332"/>
      <c r="D976" s="436" t="s">
        <v>18</v>
      </c>
      <c r="E976" s="298"/>
      <c r="F976" s="360"/>
      <c r="G976" s="336"/>
      <c r="H976" s="336"/>
      <c r="I976" s="485"/>
      <c r="J976" s="336"/>
    </row>
    <row r="977" spans="1:10" x14ac:dyDescent="0.25">
      <c r="A977" s="449"/>
      <c r="B977" s="436"/>
      <c r="C977" s="332"/>
      <c r="D977" s="601" t="s">
        <v>377</v>
      </c>
      <c r="E977" s="298"/>
      <c r="F977" s="360"/>
      <c r="G977" s="336"/>
      <c r="H977" s="336"/>
      <c r="I977" s="458"/>
      <c r="J977" s="336"/>
    </row>
    <row r="978" spans="1:10" x14ac:dyDescent="0.25">
      <c r="A978" s="449"/>
      <c r="B978" s="436"/>
      <c r="C978" s="332"/>
      <c r="D978" s="601"/>
      <c r="E978" s="298"/>
      <c r="F978" s="360"/>
      <c r="G978" s="336"/>
      <c r="H978" s="336"/>
      <c r="I978" s="458"/>
      <c r="J978" s="336"/>
    </row>
    <row r="979" spans="1:10" x14ac:dyDescent="0.25">
      <c r="A979" s="449"/>
      <c r="B979" s="436"/>
      <c r="C979" s="332"/>
      <c r="D979" s="601"/>
      <c r="E979" s="298"/>
      <c r="F979" s="360"/>
      <c r="G979" s="336"/>
      <c r="H979" s="336"/>
      <c r="I979" s="458"/>
      <c r="J979" s="336"/>
    </row>
    <row r="980" spans="1:10" x14ac:dyDescent="0.25">
      <c r="A980" s="449"/>
      <c r="B980" s="436"/>
      <c r="C980" s="332"/>
      <c r="D980" s="601"/>
      <c r="E980" s="298"/>
      <c r="F980" s="360"/>
      <c r="G980" s="336"/>
      <c r="H980" s="336"/>
      <c r="I980" s="458"/>
      <c r="J980" s="336"/>
    </row>
    <row r="981" spans="1:10" x14ac:dyDescent="0.25">
      <c r="A981" s="449"/>
      <c r="B981" s="436"/>
      <c r="C981" s="332"/>
      <c r="D981" s="601"/>
      <c r="E981" s="298"/>
      <c r="F981" s="360"/>
      <c r="G981" s="336"/>
      <c r="H981" s="336"/>
      <c r="I981" s="458"/>
      <c r="J981" s="336"/>
    </row>
    <row r="982" spans="1:10" x14ac:dyDescent="0.25">
      <c r="A982" s="449"/>
      <c r="B982" s="436"/>
      <c r="C982" s="332"/>
      <c r="D982" s="601"/>
      <c r="E982" s="298"/>
      <c r="F982" s="360"/>
      <c r="G982" s="336"/>
      <c r="H982" s="336"/>
      <c r="I982" s="458"/>
      <c r="J982" s="336"/>
    </row>
    <row r="983" spans="1:10" x14ac:dyDescent="0.25">
      <c r="A983" s="449"/>
      <c r="B983" s="436"/>
      <c r="C983" s="332"/>
      <c r="D983" s="601"/>
      <c r="E983" s="298"/>
      <c r="F983" s="360"/>
      <c r="G983" s="336"/>
      <c r="H983" s="336"/>
      <c r="I983" s="458"/>
      <c r="J983" s="336"/>
    </row>
    <row r="984" spans="1:10" x14ac:dyDescent="0.25">
      <c r="A984" s="449"/>
      <c r="B984" s="436"/>
      <c r="C984" s="332"/>
      <c r="D984" s="603" t="s">
        <v>427</v>
      </c>
      <c r="E984" s="297" t="s">
        <v>59</v>
      </c>
      <c r="F984" s="298">
        <f>30*12*1</f>
        <v>360</v>
      </c>
      <c r="G984" s="329">
        <v>13438</v>
      </c>
      <c r="H984" s="309">
        <v>1</v>
      </c>
      <c r="I984" s="358">
        <f>H984*G984*F984</f>
        <v>4837680</v>
      </c>
      <c r="J984" s="336"/>
    </row>
    <row r="985" spans="1:10" x14ac:dyDescent="0.25">
      <c r="A985" s="449"/>
      <c r="B985" s="436"/>
      <c r="C985" s="332"/>
      <c r="D985" s="603"/>
      <c r="E985" s="297"/>
      <c r="F985" s="298"/>
      <c r="G985" s="329"/>
      <c r="H985" s="309"/>
      <c r="I985" s="358"/>
      <c r="J985" s="336"/>
    </row>
    <row r="986" spans="1:10" x14ac:dyDescent="0.25">
      <c r="A986" s="449"/>
      <c r="B986" s="436"/>
      <c r="C986" s="332"/>
      <c r="D986" s="603"/>
      <c r="E986" s="297"/>
      <c r="F986" s="298"/>
      <c r="G986" s="329"/>
      <c r="H986" s="309"/>
      <c r="I986" s="358"/>
      <c r="J986" s="336"/>
    </row>
    <row r="987" spans="1:10" x14ac:dyDescent="0.25">
      <c r="A987" s="449"/>
      <c r="B987" s="436"/>
      <c r="C987" s="332"/>
      <c r="D987" s="436" t="s">
        <v>17</v>
      </c>
      <c r="E987" s="298"/>
      <c r="F987" s="360"/>
      <c r="G987" s="336"/>
      <c r="H987" s="336"/>
      <c r="I987" s="485"/>
      <c r="J987" s="336"/>
    </row>
    <row r="988" spans="1:10" x14ac:dyDescent="0.25">
      <c r="A988" s="449"/>
      <c r="B988" s="436"/>
      <c r="C988" s="332"/>
      <c r="D988" s="592" t="s">
        <v>153</v>
      </c>
      <c r="E988" s="298"/>
      <c r="F988" s="360"/>
      <c r="G988" s="336"/>
      <c r="H988" s="336"/>
      <c r="I988" s="458"/>
      <c r="J988" s="336"/>
    </row>
    <row r="989" spans="1:10" x14ac:dyDescent="0.25">
      <c r="A989" s="449"/>
      <c r="B989" s="436"/>
      <c r="C989" s="332"/>
      <c r="D989" s="592"/>
      <c r="E989" s="298"/>
      <c r="F989" s="360"/>
      <c r="G989" s="336"/>
      <c r="H989" s="336"/>
      <c r="I989" s="458"/>
      <c r="J989" s="336"/>
    </row>
    <row r="990" spans="1:10" x14ac:dyDescent="0.25">
      <c r="A990" s="449"/>
      <c r="B990" s="436"/>
      <c r="C990" s="332"/>
      <c r="D990" s="592"/>
      <c r="E990" s="298"/>
      <c r="F990" s="360"/>
      <c r="G990" s="336"/>
      <c r="H990" s="336"/>
      <c r="I990" s="458"/>
      <c r="J990" s="336"/>
    </row>
    <row r="991" spans="1:10" x14ac:dyDescent="0.25">
      <c r="A991" s="449"/>
      <c r="B991" s="436"/>
      <c r="C991" s="332"/>
      <c r="D991" s="592"/>
      <c r="E991" s="298"/>
      <c r="F991" s="360"/>
      <c r="G991" s="336"/>
      <c r="H991" s="336"/>
      <c r="I991" s="458"/>
      <c r="J991" s="336"/>
    </row>
    <row r="992" spans="1:10" x14ac:dyDescent="0.25">
      <c r="A992" s="449"/>
      <c r="B992" s="436"/>
      <c r="C992" s="332"/>
      <c r="D992" s="604" t="s">
        <v>428</v>
      </c>
      <c r="E992" s="298"/>
      <c r="F992" s="360"/>
      <c r="G992" s="336"/>
      <c r="H992" s="336"/>
      <c r="I992" s="458"/>
      <c r="J992" s="336"/>
    </row>
    <row r="993" spans="1:10" x14ac:dyDescent="0.25">
      <c r="A993" s="449"/>
      <c r="B993" s="436"/>
      <c r="C993" s="332"/>
      <c r="D993" s="604"/>
      <c r="E993" s="298"/>
      <c r="F993" s="360"/>
      <c r="G993" s="336"/>
      <c r="H993" s="336"/>
      <c r="I993" s="458"/>
      <c r="J993" s="336"/>
    </row>
    <row r="994" spans="1:10" x14ac:dyDescent="0.25">
      <c r="A994" s="449"/>
      <c r="B994" s="436"/>
      <c r="C994" s="332"/>
      <c r="D994" s="604"/>
      <c r="E994" s="298"/>
      <c r="F994" s="360"/>
      <c r="G994" s="336"/>
      <c r="H994" s="336"/>
      <c r="I994" s="458"/>
      <c r="J994" s="336"/>
    </row>
    <row r="995" spans="1:10" x14ac:dyDescent="0.25">
      <c r="A995" s="449"/>
      <c r="B995" s="436"/>
      <c r="C995" s="332"/>
      <c r="D995" s="604"/>
      <c r="E995" s="298"/>
      <c r="F995" s="360"/>
      <c r="G995" s="336"/>
      <c r="H995" s="336"/>
      <c r="I995" s="458"/>
      <c r="J995" s="336"/>
    </row>
    <row r="996" spans="1:10" x14ac:dyDescent="0.25">
      <c r="A996" s="449"/>
      <c r="B996" s="436"/>
      <c r="C996" s="332"/>
      <c r="D996" s="604"/>
      <c r="E996" s="298"/>
      <c r="F996" s="360"/>
      <c r="G996" s="336"/>
      <c r="H996" s="336"/>
      <c r="I996" s="458"/>
      <c r="J996" s="336"/>
    </row>
    <row r="997" spans="1:10" x14ac:dyDescent="0.25">
      <c r="A997" s="449"/>
      <c r="B997" s="436"/>
      <c r="C997" s="332"/>
      <c r="D997" s="604"/>
      <c r="E997" s="298"/>
      <c r="F997" s="360"/>
      <c r="G997" s="336"/>
      <c r="H997" s="336"/>
      <c r="I997" s="458"/>
      <c r="J997" s="336"/>
    </row>
    <row r="998" spans="1:10" x14ac:dyDescent="0.25">
      <c r="A998" s="449"/>
      <c r="B998" s="436"/>
      <c r="C998" s="332"/>
      <c r="D998" s="604"/>
      <c r="E998" s="298"/>
      <c r="F998" s="360"/>
      <c r="G998" s="336"/>
      <c r="H998" s="336"/>
      <c r="I998" s="458"/>
      <c r="J998" s="336"/>
    </row>
    <row r="999" spans="1:10" x14ac:dyDescent="0.25">
      <c r="A999" s="449"/>
      <c r="B999" s="436"/>
      <c r="C999" s="332"/>
      <c r="D999" s="604"/>
      <c r="E999" s="298"/>
      <c r="F999" s="360"/>
      <c r="G999" s="336"/>
      <c r="H999" s="336"/>
      <c r="I999" s="458"/>
      <c r="J999" s="336"/>
    </row>
    <row r="1000" spans="1:10" x14ac:dyDescent="0.25">
      <c r="A1000" s="449"/>
      <c r="B1000" s="436"/>
      <c r="C1000" s="332"/>
      <c r="D1000" s="459" t="s">
        <v>429</v>
      </c>
      <c r="E1000" s="460" t="s">
        <v>12</v>
      </c>
      <c r="F1000" s="335">
        <f>F934</f>
        <v>150.30000000000001</v>
      </c>
      <c r="G1000" s="356">
        <v>324000</v>
      </c>
      <c r="H1000" s="357">
        <v>0.5</v>
      </c>
      <c r="I1000" s="358">
        <f>H1000*G1000*F1000</f>
        <v>24348600</v>
      </c>
      <c r="J1000" s="336"/>
    </row>
    <row r="1001" spans="1:10" x14ac:dyDescent="0.25">
      <c r="A1001" s="449"/>
      <c r="B1001" s="436"/>
      <c r="C1001" s="332"/>
      <c r="D1001" s="459"/>
      <c r="E1001" s="460"/>
      <c r="F1001" s="335"/>
      <c r="G1001" s="356"/>
      <c r="H1001" s="357"/>
      <c r="I1001" s="358"/>
      <c r="J1001" s="336"/>
    </row>
    <row r="1002" spans="1:10" x14ac:dyDescent="0.25">
      <c r="A1002" s="449"/>
      <c r="B1002" s="436"/>
      <c r="C1002" s="332"/>
      <c r="D1002" s="423" t="s">
        <v>338</v>
      </c>
      <c r="E1002" s="413"/>
      <c r="F1002" s="414"/>
      <c r="G1002" s="415"/>
      <c r="H1002" s="486"/>
      <c r="I1002" s="487"/>
      <c r="J1002" s="418">
        <f>SUM(J911:J1001)</f>
        <v>158594305.40000001</v>
      </c>
    </row>
    <row r="1003" spans="1:10" x14ac:dyDescent="0.25">
      <c r="A1003" s="449"/>
      <c r="B1003" s="436"/>
      <c r="C1003" s="332"/>
      <c r="D1003" s="459"/>
      <c r="E1003" s="460"/>
      <c r="F1003" s="335"/>
      <c r="G1003" s="356"/>
      <c r="H1003" s="357"/>
      <c r="I1003" s="358"/>
      <c r="J1003" s="336"/>
    </row>
    <row r="1004" spans="1:10" x14ac:dyDescent="0.25">
      <c r="A1004" s="449"/>
      <c r="B1004" s="436"/>
      <c r="C1004" s="332"/>
      <c r="D1004" s="336" t="s">
        <v>57</v>
      </c>
      <c r="E1004" s="298"/>
      <c r="F1004" s="424"/>
      <c r="G1004" s="461"/>
      <c r="H1004" s="462"/>
      <c r="I1004" s="461"/>
      <c r="J1004" s="428"/>
    </row>
    <row r="1005" spans="1:10" x14ac:dyDescent="0.25">
      <c r="A1005" s="449"/>
      <c r="B1005" s="436"/>
      <c r="C1005" s="332"/>
      <c r="D1005" s="604" t="s">
        <v>23</v>
      </c>
      <c r="E1005" s="298"/>
      <c r="F1005" s="577" t="s">
        <v>24</v>
      </c>
      <c r="G1005" s="577"/>
      <c r="H1005" s="577"/>
      <c r="I1005" s="577"/>
      <c r="J1005" s="577"/>
    </row>
    <row r="1006" spans="1:10" x14ac:dyDescent="0.25">
      <c r="A1006" s="449"/>
      <c r="B1006" s="436"/>
      <c r="C1006" s="332"/>
      <c r="D1006" s="604"/>
      <c r="E1006" s="298"/>
      <c r="F1006" s="577"/>
      <c r="G1006" s="577"/>
      <c r="H1006" s="577"/>
      <c r="I1006" s="577"/>
      <c r="J1006" s="577"/>
    </row>
    <row r="1007" spans="1:10" x14ac:dyDescent="0.25">
      <c r="A1007" s="449"/>
      <c r="B1007" s="436"/>
      <c r="C1007" s="332"/>
      <c r="D1007" s="488"/>
      <c r="E1007" s="298"/>
      <c r="F1007" s="489"/>
      <c r="G1007" s="489"/>
      <c r="H1007" s="489"/>
      <c r="I1007" s="489"/>
      <c r="J1007" s="489"/>
    </row>
    <row r="1008" spans="1:10" s="442" customFormat="1" x14ac:dyDescent="0.25">
      <c r="A1008" s="541"/>
      <c r="B1008" s="542"/>
      <c r="C1008" s="541"/>
      <c r="D1008" s="541"/>
      <c r="E1008" s="543"/>
      <c r="F1008" s="544"/>
      <c r="G1008" s="545"/>
      <c r="H1008" s="541"/>
      <c r="I1008" s="545"/>
      <c r="J1008" s="541"/>
    </row>
  </sheetData>
  <mergeCells count="202">
    <mergeCell ref="D642:D646"/>
    <mergeCell ref="D647:D655"/>
    <mergeCell ref="D658:D661"/>
    <mergeCell ref="D662:D663"/>
    <mergeCell ref="D664:D666"/>
    <mergeCell ref="D513:D518"/>
    <mergeCell ref="D523:D528"/>
    <mergeCell ref="D581:D582"/>
    <mergeCell ref="D631:D636"/>
    <mergeCell ref="D637:D640"/>
    <mergeCell ref="D713:D714"/>
    <mergeCell ref="D675:D685"/>
    <mergeCell ref="F675:J703"/>
    <mergeCell ref="D686:D696"/>
    <mergeCell ref="D697:D703"/>
    <mergeCell ref="D668:D669"/>
    <mergeCell ref="D670:D671"/>
    <mergeCell ref="D707:D708"/>
    <mergeCell ref="D709:D710"/>
    <mergeCell ref="D711:D712"/>
    <mergeCell ref="D507:D508"/>
    <mergeCell ref="D509:D510"/>
    <mergeCell ref="D511:D512"/>
    <mergeCell ref="D484:D485"/>
    <mergeCell ref="D486:D487"/>
    <mergeCell ref="D489:D493"/>
    <mergeCell ref="D495:D496"/>
    <mergeCell ref="D498:D499"/>
    <mergeCell ref="C102:C103"/>
    <mergeCell ref="D500:D501"/>
    <mergeCell ref="D475:D476"/>
    <mergeCell ref="D478:D479"/>
    <mergeCell ref="D480:D481"/>
    <mergeCell ref="D482:D483"/>
    <mergeCell ref="D453:D454"/>
    <mergeCell ref="D456:D457"/>
    <mergeCell ref="D459:D461"/>
    <mergeCell ref="D463:D466"/>
    <mergeCell ref="D502:D506"/>
    <mergeCell ref="D298:D301"/>
    <mergeCell ref="D302:D306"/>
    <mergeCell ref="D308:D309"/>
    <mergeCell ref="D310:D315"/>
    <mergeCell ref="D316:D318"/>
    <mergeCell ref="C253:C703"/>
    <mergeCell ref="D358:D359"/>
    <mergeCell ref="D360:D364"/>
    <mergeCell ref="D365:D367"/>
    <mergeCell ref="D368:D373"/>
    <mergeCell ref="D374:D375"/>
    <mergeCell ref="D334:D335"/>
    <mergeCell ref="D336:D341"/>
    <mergeCell ref="D343:D348"/>
    <mergeCell ref="D350:D352"/>
    <mergeCell ref="D353:D357"/>
    <mergeCell ref="D396:D402"/>
    <mergeCell ref="D404:D405"/>
    <mergeCell ref="D406:D407"/>
    <mergeCell ref="D408:D412"/>
    <mergeCell ref="D413:D414"/>
    <mergeCell ref="D376:D377"/>
    <mergeCell ref="D379:D384"/>
    <mergeCell ref="D386:D387"/>
    <mergeCell ref="B247:B279"/>
    <mergeCell ref="C247:C252"/>
    <mergeCell ref="G253:J256"/>
    <mergeCell ref="D254:D256"/>
    <mergeCell ref="D259:D269"/>
    <mergeCell ref="D270:D279"/>
    <mergeCell ref="D281:D282"/>
    <mergeCell ref="D283:D291"/>
    <mergeCell ref="D293:D294"/>
    <mergeCell ref="A68:I68"/>
    <mergeCell ref="D14:D21"/>
    <mergeCell ref="D22:D28"/>
    <mergeCell ref="B4:B36"/>
    <mergeCell ref="D11:D12"/>
    <mergeCell ref="D32:D33"/>
    <mergeCell ref="G11:J12"/>
    <mergeCell ref="D39:D44"/>
    <mergeCell ref="D64:D65"/>
    <mergeCell ref="F64:J66"/>
    <mergeCell ref="G32:J33"/>
    <mergeCell ref="F48:J49"/>
    <mergeCell ref="D51:D54"/>
    <mergeCell ref="D55:D60"/>
    <mergeCell ref="C4:C10"/>
    <mergeCell ref="C14:C15"/>
    <mergeCell ref="C11:C12"/>
    <mergeCell ref="A245:I245"/>
    <mergeCell ref="D216:D221"/>
    <mergeCell ref="D222:D224"/>
    <mergeCell ref="D242:D243"/>
    <mergeCell ref="F242:J243"/>
    <mergeCell ref="D194:D199"/>
    <mergeCell ref="C70:C75"/>
    <mergeCell ref="C77:C78"/>
    <mergeCell ref="D77:D78"/>
    <mergeCell ref="E77:E78"/>
    <mergeCell ref="G77:J78"/>
    <mergeCell ref="C94:C99"/>
    <mergeCell ref="G106:J108"/>
    <mergeCell ref="D107:D108"/>
    <mergeCell ref="D134:D136"/>
    <mergeCell ref="D137:D141"/>
    <mergeCell ref="D143:D144"/>
    <mergeCell ref="D145:D151"/>
    <mergeCell ref="D187:D191"/>
    <mergeCell ref="D165:D166"/>
    <mergeCell ref="D168:D169"/>
    <mergeCell ref="D172:D173"/>
    <mergeCell ref="D175:D176"/>
    <mergeCell ref="C100:C101"/>
    <mergeCell ref="D226:D229"/>
    <mergeCell ref="D230:D234"/>
    <mergeCell ref="D235:D237"/>
    <mergeCell ref="F85:J87"/>
    <mergeCell ref="F89:J90"/>
    <mergeCell ref="D178:D179"/>
    <mergeCell ref="D181:D185"/>
    <mergeCell ref="A92:I92"/>
    <mergeCell ref="D153:D154"/>
    <mergeCell ref="D156:D157"/>
    <mergeCell ref="D159:D163"/>
    <mergeCell ref="F129:J130"/>
    <mergeCell ref="D111:D118"/>
    <mergeCell ref="D119:D125"/>
    <mergeCell ref="B94:B127"/>
    <mergeCell ref="B70:B87"/>
    <mergeCell ref="B911:B929"/>
    <mergeCell ref="C911:C916"/>
    <mergeCell ref="D918:D933"/>
    <mergeCell ref="C919:C921"/>
    <mergeCell ref="D935:D936"/>
    <mergeCell ref="D807:D813"/>
    <mergeCell ref="D814:D815"/>
    <mergeCell ref="D816:D817"/>
    <mergeCell ref="D819:D820"/>
    <mergeCell ref="D824:D827"/>
    <mergeCell ref="D841:D843"/>
    <mergeCell ref="D901:D902"/>
    <mergeCell ref="D898:D900"/>
    <mergeCell ref="D906:D907"/>
    <mergeCell ref="D903:D905"/>
    <mergeCell ref="D947:D951"/>
    <mergeCell ref="D953:D958"/>
    <mergeCell ref="D962:D967"/>
    <mergeCell ref="D977:D983"/>
    <mergeCell ref="D984:D986"/>
    <mergeCell ref="D988:D991"/>
    <mergeCell ref="D992:D999"/>
    <mergeCell ref="D1005:D1006"/>
    <mergeCell ref="D319:D324"/>
    <mergeCell ref="D325:D326"/>
    <mergeCell ref="D327:D328"/>
    <mergeCell ref="D330:D331"/>
    <mergeCell ref="D388:D392"/>
    <mergeCell ref="D393:D395"/>
    <mergeCell ref="D437:D440"/>
    <mergeCell ref="D441:D446"/>
    <mergeCell ref="D447:D448"/>
    <mergeCell ref="D449:D450"/>
    <mergeCell ref="D451:D452"/>
    <mergeCell ref="D415:D419"/>
    <mergeCell ref="D421:D426"/>
    <mergeCell ref="D428:D430"/>
    <mergeCell ref="D431:D436"/>
    <mergeCell ref="D467:D473"/>
    <mergeCell ref="F1005:J1006"/>
    <mergeCell ref="B715:B749"/>
    <mergeCell ref="C715:C720"/>
    <mergeCell ref="D722:D723"/>
    <mergeCell ref="G722:J727"/>
    <mergeCell ref="D730:D740"/>
    <mergeCell ref="D741:D747"/>
    <mergeCell ref="D749:D750"/>
    <mergeCell ref="D751:D759"/>
    <mergeCell ref="D760:D761"/>
    <mergeCell ref="D763:D764"/>
    <mergeCell ref="G765:J766"/>
    <mergeCell ref="D771:D774"/>
    <mergeCell ref="D775:D779"/>
    <mergeCell ref="D780:D783"/>
    <mergeCell ref="D784:D792"/>
    <mergeCell ref="E791:E792"/>
    <mergeCell ref="D793:D794"/>
    <mergeCell ref="D795:D796"/>
    <mergeCell ref="D797:D798"/>
    <mergeCell ref="D799:D801"/>
    <mergeCell ref="D802:D803"/>
    <mergeCell ref="D804:D805"/>
    <mergeCell ref="D940:D946"/>
    <mergeCell ref="F841:J843"/>
    <mergeCell ref="D847:D853"/>
    <mergeCell ref="F892:J894"/>
    <mergeCell ref="D854:D856"/>
    <mergeCell ref="D858:D863"/>
    <mergeCell ref="D864:D872"/>
    <mergeCell ref="D876:D880"/>
    <mergeCell ref="D881:D882"/>
    <mergeCell ref="D885:D886"/>
    <mergeCell ref="D887:D889"/>
  </mergeCells>
  <pageMargins left="0.31496062992125984" right="0.11811023622047245" top="0.31496062992125984" bottom="0.31496062992125984" header="0" footer="0"/>
  <pageSetup paperSize="9" scale="54" orientation="landscape" r:id="rId1"/>
  <headerFooter>
    <oddFooter>&amp;R&amp;P</oddFooter>
  </headerFooter>
  <rowBreaks count="5" manualBreakCount="5">
    <brk id="68" max="9" man="1"/>
    <brk id="92" max="9" man="1"/>
    <brk id="245" max="9" man="1"/>
    <brk id="714" max="9" man="1"/>
    <brk id="910"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205AE-17E1-4EFC-849A-3C8820BC5803}">
  <dimension ref="A1:S31"/>
  <sheetViews>
    <sheetView view="pageBreakPreview" topLeftCell="A5" zoomScale="70" zoomScaleNormal="100" zoomScaleSheetLayoutView="70" workbookViewId="0">
      <selection activeCell="T12" sqref="T12"/>
    </sheetView>
  </sheetViews>
  <sheetFormatPr defaultRowHeight="14.25" x14ac:dyDescent="0.2"/>
  <cols>
    <col min="1" max="1" width="6.25" customWidth="1"/>
    <col min="2" max="2" width="35.125" customWidth="1"/>
    <col min="3" max="3" width="14.125" customWidth="1"/>
    <col min="4" max="4" width="9.625" customWidth="1"/>
    <col min="5" max="5" width="16.25" customWidth="1"/>
    <col min="6" max="6" width="15.75" customWidth="1"/>
    <col min="7" max="7" width="12.625" customWidth="1"/>
    <col min="8" max="9" width="13.25" customWidth="1"/>
    <col min="10" max="10" width="19.375" customWidth="1"/>
    <col min="11" max="11" width="17.5" customWidth="1"/>
    <col min="12" max="12" width="15.5" customWidth="1"/>
    <col min="13" max="13" width="14.75" customWidth="1"/>
    <col min="14" max="14" width="19" customWidth="1"/>
    <col min="15" max="16" width="18.875" customWidth="1"/>
    <col min="17" max="17" width="20.5" customWidth="1"/>
    <col min="19" max="19" width="11.25" bestFit="1" customWidth="1"/>
  </cols>
  <sheetData>
    <row r="1" spans="1:17" ht="24" customHeight="1" x14ac:dyDescent="0.2">
      <c r="A1" s="685" t="s">
        <v>48</v>
      </c>
      <c r="B1" s="685"/>
      <c r="C1" s="685"/>
      <c r="D1" s="685"/>
      <c r="E1" s="685"/>
      <c r="F1" s="685"/>
      <c r="G1" s="685"/>
      <c r="H1" s="685"/>
      <c r="I1" s="685"/>
      <c r="J1" s="685"/>
      <c r="K1" s="685"/>
      <c r="L1" s="685"/>
      <c r="M1" s="685"/>
      <c r="N1" s="685"/>
      <c r="O1" s="685"/>
      <c r="P1" s="685"/>
      <c r="Q1" s="685"/>
    </row>
    <row r="2" spans="1:17" ht="27" customHeight="1" x14ac:dyDescent="0.2">
      <c r="A2" s="685" t="s">
        <v>49</v>
      </c>
      <c r="B2" s="685"/>
      <c r="C2" s="685"/>
      <c r="D2" s="685"/>
      <c r="E2" s="685"/>
      <c r="F2" s="685"/>
      <c r="G2" s="685"/>
      <c r="H2" s="685"/>
      <c r="I2" s="685"/>
      <c r="J2" s="685"/>
      <c r="K2" s="685"/>
      <c r="L2" s="685"/>
      <c r="M2" s="685"/>
      <c r="N2" s="685"/>
      <c r="O2" s="685"/>
      <c r="P2" s="685"/>
      <c r="Q2" s="685"/>
    </row>
    <row r="3" spans="1:17" ht="27" customHeight="1" x14ac:dyDescent="0.2">
      <c r="A3" s="685" t="s">
        <v>50</v>
      </c>
      <c r="B3" s="685"/>
      <c r="C3" s="685"/>
      <c r="D3" s="685"/>
      <c r="E3" s="685"/>
      <c r="F3" s="685"/>
      <c r="G3" s="685"/>
      <c r="H3" s="685"/>
      <c r="I3" s="685"/>
      <c r="J3" s="685"/>
      <c r="K3" s="685"/>
      <c r="L3" s="685"/>
      <c r="M3" s="685"/>
      <c r="N3" s="685"/>
      <c r="O3" s="685"/>
      <c r="P3" s="685"/>
      <c r="Q3" s="685"/>
    </row>
    <row r="4" spans="1:17" ht="18.75" x14ac:dyDescent="0.2">
      <c r="A4" s="686"/>
      <c r="B4" s="686"/>
      <c r="C4" s="686"/>
      <c r="D4" s="686"/>
      <c r="E4" s="686"/>
      <c r="F4" s="686"/>
      <c r="G4" s="686"/>
      <c r="H4" s="686"/>
      <c r="I4" s="686"/>
      <c r="J4" s="686"/>
      <c r="K4" s="686"/>
      <c r="L4" s="686"/>
      <c r="M4" s="686"/>
      <c r="N4" s="686"/>
      <c r="O4" s="686"/>
      <c r="P4" s="686"/>
      <c r="Q4" s="686"/>
    </row>
    <row r="5" spans="1:17" ht="40.5" x14ac:dyDescent="0.2">
      <c r="A5" s="683" t="s">
        <v>1</v>
      </c>
      <c r="B5" s="683" t="s">
        <v>26</v>
      </c>
      <c r="C5" s="683" t="s">
        <v>27</v>
      </c>
      <c r="D5" s="683" t="s">
        <v>28</v>
      </c>
      <c r="E5" s="683" t="s">
        <v>29</v>
      </c>
      <c r="F5" s="671" t="s">
        <v>30</v>
      </c>
      <c r="G5" s="682"/>
      <c r="H5" s="682"/>
      <c r="I5" s="672"/>
      <c r="J5" s="671" t="s">
        <v>31</v>
      </c>
      <c r="K5" s="682"/>
      <c r="L5" s="682"/>
      <c r="M5" s="682"/>
      <c r="N5" s="672"/>
      <c r="O5" s="189" t="s">
        <v>51</v>
      </c>
      <c r="P5" s="688" t="s">
        <v>350</v>
      </c>
      <c r="Q5" s="683" t="s">
        <v>32</v>
      </c>
    </row>
    <row r="6" spans="1:17" ht="81" x14ac:dyDescent="0.2">
      <c r="A6" s="684"/>
      <c r="B6" s="687"/>
      <c r="C6" s="684"/>
      <c r="D6" s="684"/>
      <c r="E6" s="684"/>
      <c r="F6" s="190" t="s">
        <v>33</v>
      </c>
      <c r="G6" s="190" t="s">
        <v>34</v>
      </c>
      <c r="H6" s="190" t="s">
        <v>35</v>
      </c>
      <c r="I6" s="190" t="s">
        <v>36</v>
      </c>
      <c r="J6" s="190" t="s">
        <v>37</v>
      </c>
      <c r="K6" s="190" t="s">
        <v>38</v>
      </c>
      <c r="L6" s="190" t="s">
        <v>53</v>
      </c>
      <c r="M6" s="190" t="s">
        <v>39</v>
      </c>
      <c r="N6" s="190" t="s">
        <v>54</v>
      </c>
      <c r="O6" s="190" t="s">
        <v>52</v>
      </c>
      <c r="P6" s="689"/>
      <c r="Q6" s="684"/>
    </row>
    <row r="7" spans="1:17" ht="84.75" customHeight="1" x14ac:dyDescent="0.2">
      <c r="A7" s="191">
        <v>1</v>
      </c>
      <c r="B7" s="437" t="s">
        <v>356</v>
      </c>
      <c r="C7" s="191">
        <v>321</v>
      </c>
      <c r="D7" s="191">
        <v>15</v>
      </c>
      <c r="E7" s="192">
        <f>'Phương án bà Pho 250 m2'!F5</f>
        <v>351.6</v>
      </c>
      <c r="F7" s="193">
        <f>'Phương án bà Pho 250 m2'!F6</f>
        <v>351.6</v>
      </c>
      <c r="G7" s="194">
        <v>0</v>
      </c>
      <c r="H7" s="193">
        <f>'Phương án bà Pho 250 m2'!F29</f>
        <v>207.70000000000002</v>
      </c>
      <c r="I7" s="198">
        <f>'Phương án bà Pho 250 m2'!F10</f>
        <v>143.9</v>
      </c>
      <c r="J7" s="195">
        <f>'Phương án bà Pho 250 m2'!J4</f>
        <v>157436600</v>
      </c>
      <c r="K7" s="196">
        <f>'Phương án bà Pho 250 m2'!I35</f>
        <v>0</v>
      </c>
      <c r="L7" s="196">
        <f>'Phương án bà Pho 250 m2'!I37</f>
        <v>208000</v>
      </c>
      <c r="M7" s="194">
        <v>0</v>
      </c>
      <c r="N7" s="195">
        <f>'Phương án bà Pho 250 m2'!J47</f>
        <v>67294800</v>
      </c>
      <c r="O7" s="197">
        <f>SUM(J7:N7)</f>
        <v>224939400</v>
      </c>
      <c r="P7" s="195">
        <v>0</v>
      </c>
      <c r="Q7" s="191" t="s">
        <v>40</v>
      </c>
    </row>
    <row r="8" spans="1:17" ht="84.75" customHeight="1" x14ac:dyDescent="0.2">
      <c r="A8" s="191">
        <v>2</v>
      </c>
      <c r="B8" s="437" t="s">
        <v>355</v>
      </c>
      <c r="C8" s="191">
        <v>322</v>
      </c>
      <c r="D8" s="191">
        <v>15</v>
      </c>
      <c r="E8" s="192">
        <f>'Phương án bà Pho 250 m2'!F71</f>
        <v>2807.4</v>
      </c>
      <c r="F8" s="193">
        <f>'Phương án bà Pho 250 m2'!F72</f>
        <v>2807.4</v>
      </c>
      <c r="G8" s="194">
        <v>0</v>
      </c>
      <c r="H8" s="193">
        <f>'Phương án bà Pho 250 m2'!F75</f>
        <v>0</v>
      </c>
      <c r="I8" s="198">
        <f>'Phương án bà Pho 250 m2'!F77</f>
        <v>2807.4</v>
      </c>
      <c r="J8" s="195">
        <f>'Phương án bà Pho 250 m2'!J70</f>
        <v>0</v>
      </c>
      <c r="K8" s="196">
        <f>'Phương án bà Pho 250 m2'!I81</f>
        <v>0</v>
      </c>
      <c r="L8" s="196">
        <f>'Phương án bà Pho 250 m2'!I83</f>
        <v>0</v>
      </c>
      <c r="M8" s="194">
        <v>0</v>
      </c>
      <c r="N8" s="195">
        <f>'Phương án bà Pho 250 m2'!H88</f>
        <v>0</v>
      </c>
      <c r="O8" s="197">
        <f>SUM(J8:N8)</f>
        <v>0</v>
      </c>
      <c r="P8" s="195">
        <v>0</v>
      </c>
      <c r="Q8" s="191" t="s">
        <v>40</v>
      </c>
    </row>
    <row r="9" spans="1:17" ht="84.75" customHeight="1" x14ac:dyDescent="0.2">
      <c r="A9" s="191">
        <v>3</v>
      </c>
      <c r="B9" s="437" t="s">
        <v>354</v>
      </c>
      <c r="C9" s="191" t="s">
        <v>353</v>
      </c>
      <c r="D9" s="191">
        <v>15</v>
      </c>
      <c r="E9" s="192">
        <f>'Phương án bà Pho 250 m2'!F101</f>
        <v>8244.7999999999993</v>
      </c>
      <c r="F9" s="193">
        <f>'Phương án bà Pho 250 m2'!F102</f>
        <v>8244.7999999999993</v>
      </c>
      <c r="G9" s="194">
        <v>0</v>
      </c>
      <c r="H9" s="193">
        <f>'Phương án bà Pho 250 m2'!F126</f>
        <v>8221.5999999999985</v>
      </c>
      <c r="I9" s="194">
        <f>'Phương án bà Pho 250 m2'!F106</f>
        <v>23.2</v>
      </c>
      <c r="J9" s="195">
        <f>'Phương án bà Pho 250 m2'!J94</f>
        <v>6231972799.999999</v>
      </c>
      <c r="K9" s="196">
        <f>'Phương án bà Pho 250 m2'!I133</f>
        <v>570953393.08499992</v>
      </c>
      <c r="L9" s="196">
        <f>'Phương án bà Pho 250 m2'!I192</f>
        <v>1305000</v>
      </c>
      <c r="M9" s="194">
        <f>0</f>
        <v>0</v>
      </c>
      <c r="N9" s="195">
        <f>'Phương án bà Pho 250 m2'!J214</f>
        <v>2668636079.9999995</v>
      </c>
      <c r="O9" s="197">
        <f>SUM(J9:N9)</f>
        <v>9472867273.0849991</v>
      </c>
      <c r="P9" s="195">
        <v>0</v>
      </c>
      <c r="Q9" s="191" t="s">
        <v>40</v>
      </c>
    </row>
    <row r="10" spans="1:17" ht="84.75" customHeight="1" x14ac:dyDescent="0.2">
      <c r="A10" s="191">
        <v>4</v>
      </c>
      <c r="B10" s="437" t="s">
        <v>351</v>
      </c>
      <c r="C10" s="191">
        <v>343</v>
      </c>
      <c r="D10" s="191">
        <v>15</v>
      </c>
      <c r="E10" s="192">
        <f>'Phương án bà Pho 250 m2'!F249</f>
        <v>5065.1000000000004</v>
      </c>
      <c r="F10" s="193">
        <f>'Phương án bà Pho 250 m2'!F250</f>
        <v>5065.1000000000004</v>
      </c>
      <c r="G10" s="199">
        <f>'Phương án bà Pho 250 m2'!F280</f>
        <v>250</v>
      </c>
      <c r="H10" s="193">
        <f>'Phương án bà Pho 250 m2'!F292</f>
        <v>4665.7000000000007</v>
      </c>
      <c r="I10" s="198">
        <f>'Phương án bà Pho 250 m2'!F253</f>
        <v>149.4</v>
      </c>
      <c r="J10" s="195">
        <f>'Phương án bà Pho 250 m2'!J248</f>
        <v>3757927700.0000005</v>
      </c>
      <c r="K10" s="196">
        <f>'Phương án bà Pho 250 m2'!I297</f>
        <v>1126313234.3791399</v>
      </c>
      <c r="L10" s="196">
        <f>'Phương án bà Pho 250 m2'!I521</f>
        <v>145467000</v>
      </c>
      <c r="M10" s="196">
        <f>'Phương án bà Pho 250 m2'!J667</f>
        <v>10000000</v>
      </c>
      <c r="N10" s="195">
        <f>'Phương án bà Pho 250 m2'!J629</f>
        <v>1580862160.0000002</v>
      </c>
      <c r="O10" s="197">
        <f>SUM(J10:N10)</f>
        <v>6620570094.3791409</v>
      </c>
      <c r="P10" s="195">
        <f>'Phương án bà Pho 250 m2'!J706</f>
        <v>8000000</v>
      </c>
      <c r="Q10" s="191" t="s">
        <v>352</v>
      </c>
    </row>
    <row r="11" spans="1:17" ht="84.75" customHeight="1" x14ac:dyDescent="0.2">
      <c r="A11" s="191">
        <v>5</v>
      </c>
      <c r="B11" s="437" t="s">
        <v>422</v>
      </c>
      <c r="C11" s="191">
        <v>74</v>
      </c>
      <c r="D11" s="530">
        <v>45</v>
      </c>
      <c r="E11" s="192">
        <f>'Phương án bà Pho 250 m2'!F717</f>
        <v>4262.8</v>
      </c>
      <c r="F11" s="193">
        <f>'Phương án bà Pho 250 m2'!F718</f>
        <v>3746.6</v>
      </c>
      <c r="G11" s="199">
        <f>'Phương án bà Pho 250 m2'!F748</f>
        <v>250</v>
      </c>
      <c r="H11" s="193">
        <f>'Phương án bà Pho 250 m2'!F762</f>
        <v>3117.6</v>
      </c>
      <c r="I11" s="198">
        <f>'Phương án bà Pho 250 m2'!F721</f>
        <v>379</v>
      </c>
      <c r="J11" s="195">
        <f>'Phương án bà Pho 250 m2'!J716</f>
        <v>3037040800</v>
      </c>
      <c r="K11" s="196">
        <f>'Phương án bà Pho 250 m2'!I770</f>
        <v>587833594.58640003</v>
      </c>
      <c r="L11" s="196">
        <f>'Phương án bà Pho 250 m2'!I821</f>
        <v>14243000</v>
      </c>
      <c r="M11" s="196">
        <f>'Phương án bà Pho 250 m2'!J884</f>
        <v>10000000</v>
      </c>
      <c r="N11" s="195">
        <f>'Phương án bà Pho 250 m2'!J845</f>
        <v>1064453120</v>
      </c>
      <c r="O11" s="197">
        <f>SUM(J11:N11)</f>
        <v>4713570514.5864</v>
      </c>
      <c r="P11" s="195">
        <f>'Phương án bà Pho 250 m2'!J897</f>
        <v>8000000</v>
      </c>
      <c r="Q11" s="191" t="s">
        <v>352</v>
      </c>
    </row>
    <row r="12" spans="1:17" ht="84.75" customHeight="1" x14ac:dyDescent="0.2">
      <c r="A12" s="191">
        <v>6</v>
      </c>
      <c r="B12" s="437" t="s">
        <v>438</v>
      </c>
      <c r="C12" s="191">
        <v>258</v>
      </c>
      <c r="D12" s="530">
        <v>15</v>
      </c>
      <c r="E12" s="192">
        <f>'Phương án bà Pho 250 m2'!F912</f>
        <v>150.30000000000001</v>
      </c>
      <c r="F12" s="193">
        <f>'Phương án bà Pho 250 m2'!F913</f>
        <v>150.30000000000001</v>
      </c>
      <c r="G12" s="199">
        <v>0</v>
      </c>
      <c r="H12" s="193">
        <f>'Phương án bà Pho 250 m2'!F934</f>
        <v>150.30000000000001</v>
      </c>
      <c r="I12" s="198">
        <v>0</v>
      </c>
      <c r="J12" s="195">
        <f>'Phương án bà Pho 250 m2'!J911</f>
        <v>99348300.000000015</v>
      </c>
      <c r="K12" s="196">
        <f>'Phương án bà Pho 250 m2'!I939</f>
        <v>27807725.399999999</v>
      </c>
      <c r="L12" s="196">
        <f>'Phương án bà Pho 250 m2'!I960</f>
        <v>2252000</v>
      </c>
      <c r="M12" s="196">
        <v>0</v>
      </c>
      <c r="N12" s="195">
        <f>'Phương án bà Pho 250 m2'!J975</f>
        <v>29186280</v>
      </c>
      <c r="O12" s="197">
        <f>'Phương án bà Pho 250 m2'!J1002</f>
        <v>158594305.40000001</v>
      </c>
      <c r="P12" s="195">
        <v>0</v>
      </c>
      <c r="Q12" s="191" t="s">
        <v>40</v>
      </c>
    </row>
    <row r="13" spans="1:17" ht="56.25" customHeight="1" x14ac:dyDescent="0.2">
      <c r="A13" s="200"/>
      <c r="B13" s="200" t="s">
        <v>41</v>
      </c>
      <c r="C13" s="671" t="s">
        <v>439</v>
      </c>
      <c r="D13" s="672"/>
      <c r="E13" s="201">
        <f t="shared" ref="E13:J13" si="0">SUM(E7:E12)</f>
        <v>20882</v>
      </c>
      <c r="F13" s="201">
        <f t="shared" si="0"/>
        <v>20365.8</v>
      </c>
      <c r="G13" s="201">
        <f t="shared" si="0"/>
        <v>500</v>
      </c>
      <c r="H13" s="201">
        <f t="shared" si="0"/>
        <v>16362.9</v>
      </c>
      <c r="I13" s="201">
        <f t="shared" si="0"/>
        <v>3502.9</v>
      </c>
      <c r="J13" s="202">
        <f t="shared" si="0"/>
        <v>13283726200</v>
      </c>
      <c r="K13" s="202">
        <f t="shared" ref="K13:P13" si="1">SUM(K7:K12)</f>
        <v>2312907947.4505401</v>
      </c>
      <c r="L13" s="202">
        <f t="shared" si="1"/>
        <v>163475000</v>
      </c>
      <c r="M13" s="202">
        <f t="shared" si="1"/>
        <v>20000000</v>
      </c>
      <c r="N13" s="202">
        <f t="shared" si="1"/>
        <v>5410432440</v>
      </c>
      <c r="O13" s="202">
        <f t="shared" si="1"/>
        <v>21190541587.450542</v>
      </c>
      <c r="P13" s="202">
        <f t="shared" si="1"/>
        <v>16000000</v>
      </c>
      <c r="Q13" s="200"/>
    </row>
    <row r="14" spans="1:17" ht="18.75" x14ac:dyDescent="0.2">
      <c r="A14" s="7"/>
      <c r="B14" s="7"/>
      <c r="C14" s="7"/>
      <c r="D14" s="7"/>
      <c r="E14" s="8"/>
      <c r="F14" s="8"/>
      <c r="G14" s="8"/>
      <c r="H14" s="8"/>
      <c r="I14" s="8"/>
      <c r="J14" s="8"/>
      <c r="K14" s="8"/>
      <c r="L14" s="8"/>
      <c r="M14" s="8"/>
      <c r="N14" s="8"/>
      <c r="O14" s="8"/>
      <c r="P14" s="8"/>
      <c r="Q14" s="7"/>
    </row>
    <row r="15" spans="1:17" ht="33" customHeight="1" x14ac:dyDescent="0.3">
      <c r="A15" s="2"/>
      <c r="B15" s="675" t="s">
        <v>42</v>
      </c>
      <c r="C15" s="675"/>
      <c r="D15" s="675"/>
      <c r="E15" s="675"/>
      <c r="F15" s="184"/>
      <c r="G15" s="185" t="s">
        <v>440</v>
      </c>
      <c r="H15" s="186"/>
      <c r="K15" s="2"/>
      <c r="L15" s="2"/>
      <c r="M15" s="2"/>
      <c r="N15" s="2"/>
      <c r="O15" s="4"/>
      <c r="P15" s="4"/>
      <c r="Q15" s="2"/>
    </row>
    <row r="16" spans="1:17" ht="33" customHeight="1" x14ac:dyDescent="0.3">
      <c r="A16" s="2"/>
      <c r="B16" s="675" t="s">
        <v>63</v>
      </c>
      <c r="C16" s="675"/>
      <c r="D16" s="675"/>
      <c r="E16" s="675"/>
      <c r="F16" s="677">
        <f>O13</f>
        <v>21190541587.450542</v>
      </c>
      <c r="G16" s="677"/>
      <c r="H16" s="187" t="s">
        <v>43</v>
      </c>
      <c r="K16" s="2"/>
      <c r="L16" s="2"/>
      <c r="M16" s="2"/>
      <c r="N16" s="2"/>
      <c r="O16" s="4"/>
      <c r="P16" s="4"/>
      <c r="Q16" s="2"/>
    </row>
    <row r="17" spans="1:19" ht="33" customHeight="1" x14ac:dyDescent="0.3">
      <c r="A17" s="2"/>
      <c r="B17" s="675" t="s">
        <v>44</v>
      </c>
      <c r="C17" s="675"/>
      <c r="D17" s="675"/>
      <c r="E17" s="675"/>
      <c r="F17" s="677">
        <f>F16*3%</f>
        <v>635716247.6235162</v>
      </c>
      <c r="G17" s="677"/>
      <c r="H17" s="187" t="s">
        <v>43</v>
      </c>
      <c r="K17" s="2"/>
      <c r="L17" s="2"/>
      <c r="M17" s="2"/>
      <c r="N17" s="2"/>
      <c r="O17" s="4"/>
      <c r="P17" s="4"/>
      <c r="Q17" s="2"/>
    </row>
    <row r="18" spans="1:19" ht="33" customHeight="1" x14ac:dyDescent="0.3">
      <c r="A18" s="2"/>
      <c r="B18" s="676" t="s">
        <v>359</v>
      </c>
      <c r="C18" s="676"/>
      <c r="D18" s="676"/>
      <c r="E18" s="676"/>
      <c r="F18" s="677">
        <f>F16+F17</f>
        <v>21826257835.074059</v>
      </c>
      <c r="G18" s="677"/>
      <c r="H18" s="187" t="s">
        <v>43</v>
      </c>
      <c r="K18" s="2"/>
      <c r="L18" s="2"/>
      <c r="M18" s="2"/>
      <c r="N18" s="2"/>
      <c r="O18" s="4"/>
      <c r="P18" s="4"/>
      <c r="Q18" s="2"/>
    </row>
    <row r="19" spans="1:19" ht="33" customHeight="1" x14ac:dyDescent="0.3">
      <c r="A19" s="2"/>
      <c r="B19" s="217" t="s">
        <v>361</v>
      </c>
      <c r="C19" s="217"/>
      <c r="D19" s="217"/>
      <c r="E19" s="217"/>
      <c r="F19" s="677">
        <f>P13</f>
        <v>16000000</v>
      </c>
      <c r="G19" s="677"/>
      <c r="H19" s="187" t="s">
        <v>43</v>
      </c>
      <c r="K19" s="2"/>
      <c r="L19" s="2"/>
      <c r="M19" s="2"/>
      <c r="N19" s="2"/>
      <c r="O19" s="4"/>
      <c r="P19" s="4"/>
      <c r="Q19" s="2"/>
    </row>
    <row r="20" spans="1:19" s="12" customFormat="1" ht="33" customHeight="1" x14ac:dyDescent="0.3">
      <c r="A20" s="10"/>
      <c r="B20" s="676" t="s">
        <v>360</v>
      </c>
      <c r="C20" s="676"/>
      <c r="D20" s="676"/>
      <c r="E20" s="676"/>
      <c r="F20" s="678">
        <f>SUM(E18:G19)</f>
        <v>21842257835.074059</v>
      </c>
      <c r="G20" s="678"/>
      <c r="H20" s="188" t="s">
        <v>43</v>
      </c>
      <c r="K20" s="10"/>
      <c r="L20" s="10"/>
      <c r="M20" s="10"/>
      <c r="N20" s="10"/>
      <c r="O20" s="11"/>
      <c r="P20" s="11"/>
      <c r="Q20" s="10"/>
      <c r="S20" s="12">
        <v>1399703161</v>
      </c>
    </row>
    <row r="21" spans="1:19" ht="19.5" x14ac:dyDescent="0.3">
      <c r="A21" s="5"/>
      <c r="B21" s="9"/>
      <c r="C21" s="1"/>
      <c r="D21" s="674"/>
      <c r="E21" s="674"/>
      <c r="F21" s="1"/>
      <c r="G21" s="1"/>
      <c r="H21" s="679"/>
      <c r="I21" s="679"/>
      <c r="J21" s="3"/>
      <c r="K21" s="5"/>
      <c r="L21" s="5"/>
      <c r="M21" s="5"/>
      <c r="N21" s="5"/>
      <c r="O21" s="6"/>
      <c r="P21" s="6"/>
      <c r="Q21" s="5"/>
    </row>
    <row r="22" spans="1:19" ht="23.25" x14ac:dyDescent="0.2">
      <c r="A22" s="181"/>
      <c r="B22" s="680"/>
      <c r="C22" s="680"/>
      <c r="D22" s="680"/>
      <c r="E22" s="680"/>
      <c r="F22" s="680"/>
      <c r="G22" s="680"/>
      <c r="H22" s="680"/>
      <c r="I22" s="680"/>
      <c r="J22" s="680"/>
      <c r="K22" s="673" t="s">
        <v>45</v>
      </c>
      <c r="L22" s="673"/>
      <c r="M22" s="673"/>
      <c r="N22" s="673"/>
      <c r="O22" s="673"/>
      <c r="P22" s="673"/>
      <c r="Q22" s="673"/>
    </row>
    <row r="23" spans="1:19" ht="22.5" x14ac:dyDescent="0.2">
      <c r="A23" s="673"/>
      <c r="B23" s="673"/>
      <c r="C23" s="673"/>
      <c r="D23" s="673"/>
      <c r="E23" s="673"/>
      <c r="F23" s="673"/>
      <c r="G23" s="673"/>
      <c r="H23" s="673"/>
      <c r="I23" s="673"/>
      <c r="J23" s="673"/>
      <c r="K23" s="681" t="s">
        <v>46</v>
      </c>
      <c r="L23" s="681"/>
      <c r="M23" s="681"/>
      <c r="N23" s="681"/>
      <c r="O23" s="681"/>
      <c r="P23" s="681"/>
      <c r="Q23" s="681"/>
    </row>
    <row r="24" spans="1:19" ht="22.5" x14ac:dyDescent="0.2">
      <c r="A24" s="673" t="s">
        <v>47</v>
      </c>
      <c r="B24" s="673"/>
      <c r="C24" s="673"/>
      <c r="D24" s="673"/>
      <c r="E24" s="182"/>
      <c r="F24" s="673" t="s">
        <v>95</v>
      </c>
      <c r="G24" s="673"/>
      <c r="H24" s="673"/>
      <c r="I24" s="673"/>
      <c r="J24" s="673"/>
      <c r="K24" s="681" t="s">
        <v>55</v>
      </c>
      <c r="L24" s="681"/>
      <c r="M24" s="681"/>
      <c r="N24" s="681"/>
      <c r="O24" s="681"/>
      <c r="P24" s="681"/>
      <c r="Q24" s="681"/>
    </row>
    <row r="25" spans="1:19" ht="22.5" x14ac:dyDescent="0.2">
      <c r="K25" s="673"/>
      <c r="L25" s="673"/>
      <c r="M25" s="673"/>
      <c r="N25" s="673"/>
      <c r="O25" s="673"/>
      <c r="P25" s="673"/>
      <c r="Q25" s="673"/>
    </row>
    <row r="26" spans="1:19" ht="23.25" x14ac:dyDescent="0.2">
      <c r="A26" s="181"/>
      <c r="B26" s="181"/>
      <c r="C26" s="181"/>
      <c r="D26" s="181"/>
      <c r="E26" s="183"/>
      <c r="F26" s="183"/>
      <c r="G26" s="181"/>
      <c r="H26" s="181"/>
      <c r="I26" s="181"/>
      <c r="J26" s="183"/>
      <c r="K26" s="183"/>
      <c r="L26" s="183"/>
      <c r="M26" s="181"/>
      <c r="N26" s="181"/>
      <c r="O26" s="181"/>
      <c r="P26" s="216"/>
      <c r="Q26" s="183"/>
    </row>
    <row r="27" spans="1:19" ht="23.25" x14ac:dyDescent="0.2">
      <c r="A27" s="181"/>
      <c r="B27" s="181"/>
      <c r="C27" s="181"/>
      <c r="D27" s="181"/>
      <c r="E27" s="183"/>
      <c r="F27" s="183"/>
      <c r="G27" s="181"/>
      <c r="H27" s="181"/>
      <c r="I27" s="181"/>
      <c r="J27" s="183"/>
      <c r="K27" s="183"/>
      <c r="L27" s="183"/>
      <c r="M27" s="181"/>
      <c r="N27" s="181"/>
      <c r="O27" s="181"/>
      <c r="P27" s="216"/>
      <c r="Q27" s="183"/>
    </row>
    <row r="28" spans="1:19" ht="23.25" x14ac:dyDescent="0.2">
      <c r="A28" s="181"/>
      <c r="B28" s="181"/>
      <c r="C28" s="181"/>
      <c r="D28" s="181"/>
      <c r="E28" s="183"/>
      <c r="F28" s="183"/>
      <c r="G28" s="181"/>
      <c r="H28" s="181"/>
      <c r="I28" s="181"/>
      <c r="J28" s="183"/>
      <c r="K28" s="183"/>
      <c r="L28" s="183"/>
      <c r="M28" s="181"/>
      <c r="N28" s="181"/>
      <c r="O28" s="181"/>
      <c r="P28" s="216"/>
      <c r="Q28" s="183"/>
    </row>
    <row r="29" spans="1:19" ht="23.25" x14ac:dyDescent="0.2">
      <c r="A29" s="181"/>
      <c r="B29" s="181"/>
      <c r="C29" s="181"/>
      <c r="D29" s="181"/>
      <c r="E29" s="183"/>
      <c r="F29" s="183"/>
      <c r="G29" s="181"/>
      <c r="H29" s="181"/>
      <c r="I29" s="181"/>
      <c r="J29" s="183"/>
      <c r="K29" s="183"/>
      <c r="L29" s="183"/>
      <c r="M29" s="181"/>
      <c r="N29" s="181"/>
      <c r="O29" s="181"/>
      <c r="P29" s="216"/>
      <c r="Q29" s="183"/>
    </row>
    <row r="30" spans="1:19" ht="23.25" x14ac:dyDescent="0.2">
      <c r="A30" s="181"/>
      <c r="B30" s="181"/>
      <c r="C30" s="181"/>
      <c r="D30" s="181"/>
      <c r="E30" s="183"/>
      <c r="F30" s="183"/>
      <c r="G30" s="181"/>
      <c r="H30" s="181"/>
      <c r="I30" s="181"/>
      <c r="J30" s="183"/>
      <c r="K30" s="183"/>
      <c r="L30" s="183"/>
      <c r="M30" s="181"/>
      <c r="N30" s="181"/>
      <c r="O30" s="181"/>
      <c r="P30" s="216"/>
      <c r="Q30" s="183"/>
    </row>
    <row r="31" spans="1:19" ht="22.5" x14ac:dyDescent="0.2">
      <c r="A31" s="673" t="s">
        <v>94</v>
      </c>
      <c r="B31" s="673"/>
      <c r="C31" s="673"/>
      <c r="D31" s="673"/>
      <c r="E31" s="182"/>
      <c r="F31" s="673" t="s">
        <v>96</v>
      </c>
      <c r="G31" s="673"/>
      <c r="H31" s="673"/>
      <c r="I31" s="673"/>
      <c r="J31" s="673"/>
      <c r="K31" s="673" t="s">
        <v>56</v>
      </c>
      <c r="L31" s="673"/>
      <c r="M31" s="673"/>
      <c r="N31" s="673"/>
      <c r="O31" s="673"/>
      <c r="P31" s="673"/>
      <c r="Q31" s="673"/>
    </row>
  </sheetData>
  <mergeCells count="38">
    <mergeCell ref="F18:G18"/>
    <mergeCell ref="J5:N5"/>
    <mergeCell ref="Q5:Q6"/>
    <mergeCell ref="A1:Q1"/>
    <mergeCell ref="A2:Q2"/>
    <mergeCell ref="A3:Q3"/>
    <mergeCell ref="A4:Q4"/>
    <mergeCell ref="A5:A6"/>
    <mergeCell ref="B5:B6"/>
    <mergeCell ref="C5:C6"/>
    <mergeCell ref="D5:D6"/>
    <mergeCell ref="E5:E6"/>
    <mergeCell ref="F5:I5"/>
    <mergeCell ref="P5:P6"/>
    <mergeCell ref="F16:G16"/>
    <mergeCell ref="F17:G17"/>
    <mergeCell ref="F20:G20"/>
    <mergeCell ref="K31:Q31"/>
    <mergeCell ref="H21:I21"/>
    <mergeCell ref="B22:J22"/>
    <mergeCell ref="K24:Q24"/>
    <mergeCell ref="K22:Q22"/>
    <mergeCell ref="A23:D23"/>
    <mergeCell ref="E23:J23"/>
    <mergeCell ref="K23:Q23"/>
    <mergeCell ref="K25:Q25"/>
    <mergeCell ref="F31:J31"/>
    <mergeCell ref="F24:J24"/>
    <mergeCell ref="A31:D31"/>
    <mergeCell ref="B18:E18"/>
    <mergeCell ref="F19:G19"/>
    <mergeCell ref="C13:D13"/>
    <mergeCell ref="A24:D24"/>
    <mergeCell ref="D21:E21"/>
    <mergeCell ref="B15:E15"/>
    <mergeCell ref="B16:E16"/>
    <mergeCell ref="B17:E17"/>
    <mergeCell ref="B20:E20"/>
  </mergeCells>
  <pageMargins left="0.28000000000000003" right="0.11811023622047245" top="0.11811023622047245" bottom="0.11811023622047245" header="0" footer="0"/>
  <pageSetup paperSize="9" scale="4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0FF8A-EB5E-4C63-AA7B-777E10C0F857}">
  <dimension ref="A1"/>
  <sheetViews>
    <sheetView view="pageBreakPreview" zoomScale="85" zoomScaleNormal="100" zoomScaleSheetLayoutView="85" workbookViewId="0">
      <selection activeCell="E19" sqref="E19:J19"/>
    </sheetView>
  </sheetViews>
  <sheetFormatPr defaultRowHeight="14.25" x14ac:dyDescent="0.2"/>
  <cols>
    <col min="14" max="14" width="12.75" customWidth="1"/>
    <col min="15" max="15" width="19.75" customWidth="1"/>
    <col min="16" max="16" width="18.75" customWidth="1"/>
  </cols>
  <sheetData/>
  <pageMargins left="0.7" right="0.7" top="0.75" bottom="0.75" header="0.3" footer="0.3"/>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28C7D-7770-4AB9-9B4C-A9057E8B1F22}">
  <dimension ref="A1"/>
  <sheetViews>
    <sheetView view="pageBreakPreview" zoomScale="70" zoomScaleNormal="100" zoomScaleSheetLayoutView="70" workbookViewId="0">
      <selection activeCell="E19" sqref="E19:J19"/>
    </sheetView>
  </sheetViews>
  <sheetFormatPr defaultRowHeight="14.25" x14ac:dyDescent="0.2"/>
  <cols>
    <col min="1" max="1" width="9.125" bestFit="1" customWidth="1"/>
    <col min="2" max="2" width="25.875" customWidth="1"/>
    <col min="3" max="7" width="9.125" bestFit="1" customWidth="1"/>
    <col min="8" max="8" width="10.125" bestFit="1" customWidth="1"/>
    <col min="9" max="9" width="9.125" bestFit="1" customWidth="1"/>
    <col min="10" max="11" width="17.25" bestFit="1" customWidth="1"/>
    <col min="12" max="12" width="12.75" bestFit="1" customWidth="1"/>
    <col min="13" max="13" width="9.125" bestFit="1" customWidth="1"/>
    <col min="14" max="14" width="17.25" bestFit="1" customWidth="1"/>
    <col min="15" max="15" width="18.75" bestFit="1" customWidth="1"/>
  </cols>
  <sheetData/>
  <pageMargins left="0.7" right="0.7" top="0.75" bottom="0.75" header="0.3" footer="0.3"/>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Phương án bà Pho 250 m2</vt:lpstr>
      <vt:lpstr>BTH 250m2</vt:lpstr>
      <vt:lpstr>Sheet2</vt:lpstr>
      <vt:lpstr>BTH</vt:lpstr>
      <vt:lpstr>'BTH 250m2'!Print_Area</vt:lpstr>
      <vt:lpstr>'Phương án bà Pho 250 m2'!Print_Area</vt:lpstr>
      <vt:lpstr>'Phương án bà Pho 250 m2'!Print_Titles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VNT</dc:creator>
  <cp:lastModifiedBy>ADMIN-PC</cp:lastModifiedBy>
  <cp:lastPrinted>2026-10-30T03:55:25Z</cp:lastPrinted>
  <dcterms:created xsi:type="dcterms:W3CDTF">2022-08-22T01:45:16Z</dcterms:created>
  <dcterms:modified xsi:type="dcterms:W3CDTF">2026-10-30T03:56:53Z</dcterms:modified>
</cp:coreProperties>
</file>